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2202"/>
  <workbookPr autoCompressPictures="0"/>
  <bookViews>
    <workbookView xWindow="120" yWindow="180" windowWidth="24920" windowHeight="12720"/>
  </bookViews>
  <sheets>
    <sheet name="Sheet1" sheetId="1" r:id="rId1"/>
    <sheet name="Sheet2" sheetId="2" r:id="rId2"/>
    <sheet name="Sheet3" sheetId="3" r:id="rId3"/>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G439" i="1" l="1"/>
  <c r="F439" i="1"/>
  <c r="I439" i="1"/>
  <c r="G440" i="1"/>
  <c r="F440" i="1"/>
  <c r="I440" i="1"/>
  <c r="G441" i="1"/>
  <c r="F441" i="1"/>
  <c r="I441" i="1"/>
  <c r="G442" i="1"/>
  <c r="F442" i="1"/>
  <c r="I442" i="1"/>
  <c r="G443" i="1"/>
  <c r="F443" i="1"/>
  <c r="I443" i="1"/>
  <c r="G444" i="1"/>
  <c r="F444" i="1"/>
  <c r="I444" i="1"/>
  <c r="G445" i="1"/>
  <c r="F445" i="1"/>
  <c r="I445" i="1"/>
  <c r="G446" i="1"/>
  <c r="F446" i="1"/>
  <c r="I446" i="1"/>
  <c r="G447" i="1"/>
  <c r="F447" i="1"/>
  <c r="I447" i="1"/>
  <c r="G448" i="1"/>
  <c r="F448" i="1"/>
  <c r="I448" i="1"/>
  <c r="G449" i="1"/>
  <c r="F449" i="1"/>
  <c r="I449" i="1"/>
  <c r="G450" i="1"/>
  <c r="F450" i="1"/>
  <c r="I450" i="1"/>
  <c r="G451" i="1"/>
  <c r="F451" i="1"/>
  <c r="I451" i="1"/>
  <c r="G452" i="1"/>
  <c r="F452" i="1"/>
  <c r="I452" i="1"/>
  <c r="G453" i="1"/>
  <c r="F453" i="1"/>
  <c r="I453" i="1"/>
  <c r="G454" i="1"/>
  <c r="F454" i="1"/>
  <c r="I454" i="1"/>
  <c r="G455" i="1"/>
  <c r="F455" i="1"/>
  <c r="I455" i="1"/>
  <c r="G456" i="1"/>
  <c r="F456" i="1"/>
  <c r="I456" i="1"/>
  <c r="G457" i="1"/>
  <c r="F457" i="1"/>
  <c r="I457" i="1"/>
  <c r="G458" i="1"/>
  <c r="F458" i="1"/>
  <c r="I458" i="1"/>
  <c r="G459" i="1"/>
  <c r="F459" i="1"/>
  <c r="I459" i="1"/>
  <c r="G460" i="1"/>
  <c r="F460" i="1"/>
  <c r="I460" i="1"/>
  <c r="G461" i="1"/>
  <c r="F461" i="1"/>
  <c r="I461" i="1"/>
  <c r="G462" i="1"/>
  <c r="F462" i="1"/>
  <c r="I462" i="1"/>
  <c r="G463" i="1"/>
  <c r="F463" i="1"/>
  <c r="I463" i="1"/>
  <c r="G438" i="1"/>
  <c r="F438" i="1"/>
  <c r="I438" i="1"/>
  <c r="G422" i="1"/>
  <c r="G421" i="1"/>
  <c r="F422" i="1"/>
  <c r="F421" i="1"/>
  <c r="B5" i="1"/>
  <c r="B7" i="1"/>
  <c r="B56" i="1"/>
  <c r="B421" i="1"/>
  <c r="I421" i="1"/>
  <c r="I404" i="1"/>
  <c r="B402" i="1"/>
  <c r="D400" i="1"/>
  <c r="D401" i="1"/>
  <c r="E400" i="1"/>
  <c r="E401" i="1"/>
  <c r="E395" i="1"/>
  <c r="E396" i="1"/>
  <c r="E398" i="1"/>
  <c r="D395" i="1"/>
  <c r="D396" i="1"/>
  <c r="D398" i="1"/>
  <c r="E397" i="1"/>
  <c r="D397" i="1"/>
  <c r="D388" i="1"/>
  <c r="D389" i="1"/>
  <c r="E388" i="1"/>
  <c r="E389" i="1"/>
  <c r="E373" i="1"/>
  <c r="D373" i="1"/>
  <c r="B370" i="1"/>
  <c r="E369" i="1"/>
  <c r="D369" i="1"/>
  <c r="E365" i="1"/>
  <c r="D365" i="1"/>
  <c r="B354" i="1"/>
  <c r="E356" i="1"/>
  <c r="D356" i="1"/>
  <c r="B352" i="1"/>
  <c r="B344" i="1"/>
  <c r="E335" i="1"/>
  <c r="D335" i="1"/>
  <c r="F325" i="1"/>
  <c r="G325" i="1"/>
  <c r="B324" i="1"/>
  <c r="B313" i="1"/>
  <c r="B314" i="1"/>
  <c r="B315" i="1"/>
  <c r="B316" i="1"/>
  <c r="B317" i="1"/>
  <c r="B318" i="1"/>
  <c r="B319" i="1"/>
  <c r="B320" i="1"/>
  <c r="B321" i="1"/>
  <c r="B323" i="1"/>
  <c r="H313" i="1"/>
  <c r="E319" i="1"/>
  <c r="E320" i="1"/>
  <c r="D319" i="1"/>
  <c r="D320" i="1"/>
  <c r="E314" i="1"/>
  <c r="D314" i="1"/>
  <c r="E301" i="1"/>
  <c r="D301" i="1"/>
  <c r="E250" i="1"/>
  <c r="D250" i="1"/>
  <c r="E223" i="1"/>
  <c r="D223" i="1"/>
  <c r="E222" i="1"/>
  <c r="E224" i="1"/>
  <c r="D222" i="1"/>
  <c r="D224" i="1"/>
  <c r="E98" i="1"/>
  <c r="D98" i="1"/>
  <c r="E76" i="1"/>
  <c r="D76" i="1"/>
  <c r="I75" i="1"/>
  <c r="I81" i="1"/>
  <c r="I80" i="1"/>
  <c r="E62" i="1"/>
  <c r="D62" i="1"/>
  <c r="G54" i="1"/>
  <c r="F54" i="1"/>
  <c r="G52" i="1"/>
  <c r="F52" i="1"/>
  <c r="E49" i="1"/>
  <c r="D49" i="1"/>
  <c r="E45" i="1"/>
  <c r="D45" i="1"/>
  <c r="E42" i="1"/>
  <c r="G42" i="1"/>
  <c r="D42" i="1"/>
  <c r="F42" i="1"/>
  <c r="F30" i="1"/>
  <c r="G30" i="1"/>
  <c r="E21" i="1"/>
  <c r="D21" i="1"/>
  <c r="F21" i="1"/>
  <c r="F12" i="1"/>
  <c r="G12" i="1"/>
  <c r="F14" i="1"/>
  <c r="G14" i="1"/>
  <c r="F17" i="1"/>
  <c r="G17" i="1"/>
  <c r="F18" i="1"/>
  <c r="G18" i="1"/>
  <c r="F19" i="1"/>
  <c r="G19" i="1"/>
  <c r="F20" i="1"/>
  <c r="G20" i="1"/>
  <c r="G21" i="1"/>
  <c r="F22" i="1"/>
  <c r="G22" i="1"/>
  <c r="F23" i="1"/>
  <c r="G23" i="1"/>
  <c r="F24" i="1"/>
  <c r="G24" i="1"/>
  <c r="F25" i="1"/>
  <c r="G25" i="1"/>
  <c r="F31" i="1"/>
  <c r="G31" i="1"/>
  <c r="F32" i="1"/>
  <c r="G32" i="1"/>
  <c r="F33" i="1"/>
  <c r="G33" i="1"/>
  <c r="F41" i="1"/>
  <c r="G41" i="1"/>
  <c r="F44" i="1"/>
  <c r="G44" i="1"/>
  <c r="F45" i="1"/>
  <c r="G45" i="1"/>
  <c r="F47" i="1"/>
  <c r="G47" i="1"/>
  <c r="F48" i="1"/>
  <c r="G48" i="1"/>
  <c r="F49" i="1"/>
  <c r="G49" i="1"/>
  <c r="F51" i="1"/>
  <c r="G51" i="1"/>
  <c r="F53" i="1"/>
  <c r="G53" i="1"/>
  <c r="F56" i="1"/>
  <c r="G56" i="1"/>
  <c r="F57" i="1"/>
  <c r="G57" i="1"/>
  <c r="F58" i="1"/>
  <c r="G58" i="1"/>
  <c r="F59" i="1"/>
  <c r="G59" i="1"/>
  <c r="F60" i="1"/>
  <c r="G60" i="1"/>
  <c r="F62" i="1"/>
  <c r="G62" i="1"/>
  <c r="F63" i="1"/>
  <c r="G63" i="1"/>
  <c r="F64" i="1"/>
  <c r="G64" i="1"/>
  <c r="F65" i="1"/>
  <c r="G65" i="1"/>
  <c r="F67" i="1"/>
  <c r="G67" i="1"/>
  <c r="F68" i="1"/>
  <c r="G68" i="1"/>
  <c r="F69" i="1"/>
  <c r="G69" i="1"/>
  <c r="F70" i="1"/>
  <c r="G70" i="1"/>
  <c r="F72" i="1"/>
  <c r="G72" i="1"/>
  <c r="F73" i="1"/>
  <c r="G73" i="1"/>
  <c r="F74" i="1"/>
  <c r="G74" i="1"/>
  <c r="F75" i="1"/>
  <c r="G75" i="1"/>
  <c r="F76" i="1"/>
  <c r="G76" i="1"/>
  <c r="F77" i="1"/>
  <c r="G77" i="1"/>
  <c r="F78" i="1"/>
  <c r="G78" i="1"/>
  <c r="F79" i="1"/>
  <c r="G79" i="1"/>
  <c r="F80" i="1"/>
  <c r="G80" i="1"/>
  <c r="F81" i="1"/>
  <c r="G81" i="1"/>
  <c r="F82" i="1"/>
  <c r="G82" i="1"/>
  <c r="F83" i="1"/>
  <c r="G83" i="1"/>
  <c r="F84" i="1"/>
  <c r="G84" i="1"/>
  <c r="F86" i="1"/>
  <c r="G86" i="1"/>
  <c r="F87" i="1"/>
  <c r="G87" i="1"/>
  <c r="F89" i="1"/>
  <c r="G89" i="1"/>
  <c r="F90" i="1"/>
  <c r="G90" i="1"/>
  <c r="F95" i="1"/>
  <c r="G95" i="1"/>
  <c r="F96" i="1"/>
  <c r="G96" i="1"/>
  <c r="F97" i="1"/>
  <c r="G97" i="1"/>
  <c r="F98" i="1"/>
  <c r="G98" i="1"/>
  <c r="F102" i="1"/>
  <c r="G102" i="1"/>
  <c r="F105" i="1"/>
  <c r="G105" i="1"/>
  <c r="F106" i="1"/>
  <c r="G106" i="1"/>
  <c r="F108" i="1"/>
  <c r="G108" i="1"/>
  <c r="F109" i="1"/>
  <c r="G109" i="1"/>
  <c r="F110" i="1"/>
  <c r="G110" i="1"/>
  <c r="F112" i="1"/>
  <c r="G112" i="1"/>
  <c r="F113" i="1"/>
  <c r="G113" i="1"/>
  <c r="F114" i="1"/>
  <c r="G114" i="1"/>
  <c r="F115" i="1"/>
  <c r="G115" i="1"/>
  <c r="F116" i="1"/>
  <c r="G116" i="1"/>
  <c r="F117" i="1"/>
  <c r="G117" i="1"/>
  <c r="F132" i="1"/>
  <c r="G132" i="1"/>
  <c r="F134" i="1"/>
  <c r="G134" i="1"/>
  <c r="F135" i="1"/>
  <c r="G135" i="1"/>
  <c r="F136" i="1"/>
  <c r="G136" i="1"/>
  <c r="F137" i="1"/>
  <c r="G137" i="1"/>
  <c r="F138" i="1"/>
  <c r="G138" i="1"/>
  <c r="F139" i="1"/>
  <c r="G139" i="1"/>
  <c r="F140" i="1"/>
  <c r="G140" i="1"/>
  <c r="F142" i="1"/>
  <c r="G142" i="1"/>
  <c r="F143" i="1"/>
  <c r="G143" i="1"/>
  <c r="F144" i="1"/>
  <c r="G144" i="1"/>
  <c r="F145" i="1"/>
  <c r="G145" i="1"/>
  <c r="F146" i="1"/>
  <c r="G146" i="1"/>
  <c r="F148" i="1"/>
  <c r="G148" i="1"/>
  <c r="F151" i="1"/>
  <c r="G151" i="1"/>
  <c r="F153" i="1"/>
  <c r="G153" i="1"/>
  <c r="F154" i="1"/>
  <c r="G154" i="1"/>
  <c r="F155" i="1"/>
  <c r="G155" i="1"/>
  <c r="F156" i="1"/>
  <c r="G156" i="1"/>
  <c r="F158" i="1"/>
  <c r="G158" i="1"/>
  <c r="F159" i="1"/>
  <c r="G159" i="1"/>
  <c r="F168" i="1"/>
  <c r="G168" i="1"/>
  <c r="F171" i="1"/>
  <c r="G171" i="1"/>
  <c r="F172" i="1"/>
  <c r="G172" i="1"/>
  <c r="F173" i="1"/>
  <c r="G173" i="1"/>
  <c r="F174" i="1"/>
  <c r="G174" i="1"/>
  <c r="F176" i="1"/>
  <c r="G176" i="1"/>
  <c r="F177" i="1"/>
  <c r="G177" i="1"/>
  <c r="F178" i="1"/>
  <c r="G178" i="1"/>
  <c r="F180" i="1"/>
  <c r="G180" i="1"/>
  <c r="F181" i="1"/>
  <c r="G181" i="1"/>
  <c r="F182" i="1"/>
  <c r="G182" i="1"/>
  <c r="F183" i="1"/>
  <c r="G183" i="1"/>
  <c r="F184" i="1"/>
  <c r="G184" i="1"/>
  <c r="F185" i="1"/>
  <c r="G185" i="1"/>
  <c r="F186" i="1"/>
  <c r="G186" i="1"/>
  <c r="F187" i="1"/>
  <c r="G187" i="1"/>
  <c r="F189" i="1"/>
  <c r="G189" i="1"/>
  <c r="F190" i="1"/>
  <c r="G190" i="1"/>
  <c r="F191" i="1"/>
  <c r="G191" i="1"/>
  <c r="F193" i="1"/>
  <c r="G193" i="1"/>
  <c r="F197" i="1"/>
  <c r="G197" i="1"/>
  <c r="F198" i="1"/>
  <c r="G198" i="1"/>
  <c r="F199" i="1"/>
  <c r="G199" i="1"/>
  <c r="F207" i="1"/>
  <c r="G207" i="1"/>
  <c r="F208" i="1"/>
  <c r="G208" i="1"/>
  <c r="F209" i="1"/>
  <c r="G209" i="1"/>
  <c r="F210" i="1"/>
  <c r="G210" i="1"/>
  <c r="F211" i="1"/>
  <c r="G211" i="1"/>
  <c r="F212" i="1"/>
  <c r="G212" i="1"/>
  <c r="F213" i="1"/>
  <c r="G213" i="1"/>
  <c r="F214" i="1"/>
  <c r="G214" i="1"/>
  <c r="F215" i="1"/>
  <c r="G215" i="1"/>
  <c r="F216" i="1"/>
  <c r="G216" i="1"/>
  <c r="F217" i="1"/>
  <c r="G217" i="1"/>
  <c r="F218" i="1"/>
  <c r="G218" i="1"/>
  <c r="F220" i="1"/>
  <c r="G220" i="1"/>
  <c r="F221" i="1"/>
  <c r="G221" i="1"/>
  <c r="F222" i="1"/>
  <c r="G222" i="1"/>
  <c r="F223" i="1"/>
  <c r="G223" i="1"/>
  <c r="F224" i="1"/>
  <c r="G224" i="1"/>
  <c r="F225" i="1"/>
  <c r="G225" i="1"/>
  <c r="F226" i="1"/>
  <c r="G226" i="1"/>
  <c r="F227" i="1"/>
  <c r="G227" i="1"/>
  <c r="F230" i="1"/>
  <c r="G230" i="1"/>
  <c r="F231" i="1"/>
  <c r="G231" i="1"/>
  <c r="F233" i="1"/>
  <c r="G233" i="1"/>
  <c r="F235" i="1"/>
  <c r="G235" i="1"/>
  <c r="F238" i="1"/>
  <c r="G238" i="1"/>
  <c r="F239" i="1"/>
  <c r="G239" i="1"/>
  <c r="F243" i="1"/>
  <c r="G243" i="1"/>
  <c r="F244" i="1"/>
  <c r="G244" i="1"/>
  <c r="F245" i="1"/>
  <c r="G245" i="1"/>
  <c r="F246" i="1"/>
  <c r="G246" i="1"/>
  <c r="F247" i="1"/>
  <c r="G247" i="1"/>
  <c r="F248" i="1"/>
  <c r="G248" i="1"/>
  <c r="F249" i="1"/>
  <c r="G249" i="1"/>
  <c r="F250" i="1"/>
  <c r="G250" i="1"/>
  <c r="F254" i="1"/>
  <c r="G254" i="1"/>
  <c r="F256" i="1"/>
  <c r="G256" i="1"/>
  <c r="F257" i="1"/>
  <c r="G257" i="1"/>
  <c r="F258" i="1"/>
  <c r="G258" i="1"/>
  <c r="F259" i="1"/>
  <c r="G259" i="1"/>
  <c r="F260" i="1"/>
  <c r="G260" i="1"/>
  <c r="F261" i="1"/>
  <c r="G261" i="1"/>
  <c r="F262" i="1"/>
  <c r="G262" i="1"/>
  <c r="F267" i="1"/>
  <c r="G267" i="1"/>
  <c r="F268" i="1"/>
  <c r="G268" i="1"/>
  <c r="F269" i="1"/>
  <c r="G269" i="1"/>
  <c r="F271" i="1"/>
  <c r="G271" i="1"/>
  <c r="F272" i="1"/>
  <c r="G272" i="1"/>
  <c r="F273" i="1"/>
  <c r="G273" i="1"/>
  <c r="F274" i="1"/>
  <c r="G274" i="1"/>
  <c r="F275" i="1"/>
  <c r="G275" i="1"/>
  <c r="F276" i="1"/>
  <c r="G276" i="1"/>
  <c r="F277" i="1"/>
  <c r="G277" i="1"/>
  <c r="F278" i="1"/>
  <c r="G278" i="1"/>
  <c r="F285" i="1"/>
  <c r="G285" i="1"/>
  <c r="F288" i="1"/>
  <c r="G288" i="1"/>
  <c r="F290" i="1"/>
  <c r="G290" i="1"/>
  <c r="F292" i="1"/>
  <c r="G292" i="1"/>
  <c r="F293" i="1"/>
  <c r="G293" i="1"/>
  <c r="F300" i="1"/>
  <c r="G300" i="1"/>
  <c r="F301" i="1"/>
  <c r="G301" i="1"/>
  <c r="F302" i="1"/>
  <c r="G302" i="1"/>
  <c r="F303" i="1"/>
  <c r="G303" i="1"/>
  <c r="F304" i="1"/>
  <c r="G304" i="1"/>
  <c r="F305" i="1"/>
  <c r="G305" i="1"/>
  <c r="F306" i="1"/>
  <c r="G306" i="1"/>
  <c r="F307" i="1"/>
  <c r="G307" i="1"/>
  <c r="F309" i="1"/>
  <c r="G309" i="1"/>
  <c r="F313" i="1"/>
  <c r="G313" i="1"/>
  <c r="F314" i="1"/>
  <c r="G314" i="1"/>
  <c r="F315" i="1"/>
  <c r="G315" i="1"/>
  <c r="F316" i="1"/>
  <c r="G316" i="1"/>
  <c r="F317" i="1"/>
  <c r="G317" i="1"/>
  <c r="F318" i="1"/>
  <c r="G318" i="1"/>
  <c r="F319" i="1"/>
  <c r="G319" i="1"/>
  <c r="F320" i="1"/>
  <c r="G320" i="1"/>
  <c r="F321" i="1"/>
  <c r="G321" i="1"/>
  <c r="F322" i="1"/>
  <c r="G322" i="1"/>
  <c r="F323" i="1"/>
  <c r="G323" i="1"/>
  <c r="F324" i="1"/>
  <c r="G324" i="1"/>
  <c r="F326" i="1"/>
  <c r="G326" i="1"/>
  <c r="F327" i="1"/>
  <c r="G327" i="1"/>
  <c r="F328" i="1"/>
  <c r="G328" i="1"/>
  <c r="F329" i="1"/>
  <c r="G329" i="1"/>
  <c r="F330" i="1"/>
  <c r="G330" i="1"/>
  <c r="F331" i="1"/>
  <c r="G331" i="1"/>
  <c r="F332" i="1"/>
  <c r="G332" i="1"/>
  <c r="F333" i="1"/>
  <c r="G333" i="1"/>
  <c r="F334" i="1"/>
  <c r="G334" i="1"/>
  <c r="F335" i="1"/>
  <c r="G335" i="1"/>
  <c r="F338" i="1"/>
  <c r="G338" i="1"/>
  <c r="F339" i="1"/>
  <c r="G339" i="1"/>
  <c r="F340" i="1"/>
  <c r="G340" i="1"/>
  <c r="F343" i="1"/>
  <c r="G343" i="1"/>
  <c r="F344" i="1"/>
  <c r="G344" i="1"/>
  <c r="F346" i="1"/>
  <c r="G346" i="1"/>
  <c r="F347" i="1"/>
  <c r="G347" i="1"/>
  <c r="F349" i="1"/>
  <c r="G349" i="1"/>
  <c r="F350" i="1"/>
  <c r="G350" i="1"/>
  <c r="F351" i="1"/>
  <c r="G351" i="1"/>
  <c r="F352" i="1"/>
  <c r="G352" i="1"/>
  <c r="F353" i="1"/>
  <c r="G353" i="1"/>
  <c r="F354" i="1"/>
  <c r="G354" i="1"/>
  <c r="F355" i="1"/>
  <c r="G355" i="1"/>
  <c r="F356" i="1"/>
  <c r="G356" i="1"/>
  <c r="F357" i="1"/>
  <c r="G357" i="1"/>
  <c r="F358" i="1"/>
  <c r="G358" i="1"/>
  <c r="F359" i="1"/>
  <c r="G359" i="1"/>
  <c r="F360" i="1"/>
  <c r="G360" i="1"/>
  <c r="F361" i="1"/>
  <c r="G361" i="1"/>
  <c r="F362" i="1"/>
  <c r="G362" i="1"/>
  <c r="F363" i="1"/>
  <c r="G363" i="1"/>
  <c r="F364" i="1"/>
  <c r="G364" i="1"/>
  <c r="F365" i="1"/>
  <c r="G365" i="1"/>
  <c r="F366" i="1"/>
  <c r="G366" i="1"/>
  <c r="F367" i="1"/>
  <c r="G367" i="1"/>
  <c r="F368" i="1"/>
  <c r="G368" i="1"/>
  <c r="F369" i="1"/>
  <c r="G369" i="1"/>
  <c r="F370" i="1"/>
  <c r="G370" i="1"/>
  <c r="F371" i="1"/>
  <c r="G371" i="1"/>
  <c r="F372" i="1"/>
  <c r="G372" i="1"/>
  <c r="F373" i="1"/>
  <c r="G373" i="1"/>
  <c r="F374" i="1"/>
  <c r="G374" i="1"/>
  <c r="F375" i="1"/>
  <c r="G375" i="1"/>
  <c r="F387" i="1"/>
  <c r="G387" i="1"/>
  <c r="F388" i="1"/>
  <c r="G388" i="1"/>
  <c r="F389" i="1"/>
  <c r="G389" i="1"/>
  <c r="F392" i="1"/>
  <c r="G392" i="1"/>
  <c r="F393" i="1"/>
  <c r="G393" i="1"/>
  <c r="F394" i="1"/>
  <c r="G394" i="1"/>
  <c r="F395" i="1"/>
  <c r="G395" i="1"/>
  <c r="F396" i="1"/>
  <c r="G396" i="1"/>
  <c r="F397" i="1"/>
  <c r="G397" i="1"/>
  <c r="F398" i="1"/>
  <c r="G398" i="1"/>
  <c r="F399" i="1"/>
  <c r="G399" i="1"/>
  <c r="F400" i="1"/>
  <c r="G400" i="1"/>
  <c r="F401" i="1"/>
  <c r="G401" i="1"/>
  <c r="F402" i="1"/>
  <c r="G402" i="1"/>
  <c r="F403" i="1"/>
  <c r="G403" i="1"/>
  <c r="F404" i="1"/>
  <c r="G404" i="1"/>
  <c r="F405" i="1"/>
  <c r="G405" i="1"/>
  <c r="F406" i="1"/>
  <c r="G406" i="1"/>
  <c r="F407" i="1"/>
  <c r="G407" i="1"/>
  <c r="F408" i="1"/>
  <c r="G408" i="1"/>
  <c r="F409" i="1"/>
  <c r="G409" i="1"/>
  <c r="F410" i="1"/>
  <c r="G410" i="1"/>
  <c r="F411" i="1"/>
  <c r="G411" i="1"/>
  <c r="F412" i="1"/>
  <c r="G412" i="1"/>
  <c r="F413" i="1"/>
  <c r="G413" i="1"/>
  <c r="F414" i="1"/>
  <c r="G414" i="1"/>
  <c r="F415" i="1"/>
  <c r="G415" i="1"/>
  <c r="F417" i="1"/>
  <c r="G417" i="1"/>
  <c r="F418" i="1"/>
  <c r="G418" i="1"/>
  <c r="F419" i="1"/>
  <c r="G419" i="1"/>
  <c r="F420" i="1"/>
  <c r="G420" i="1"/>
  <c r="F424" i="1"/>
  <c r="G424" i="1"/>
  <c r="F425" i="1"/>
  <c r="G425" i="1"/>
  <c r="F426" i="1"/>
  <c r="G426" i="1"/>
  <c r="F427" i="1"/>
  <c r="G427" i="1"/>
  <c r="F428" i="1"/>
  <c r="G428" i="1"/>
  <c r="F429" i="1"/>
  <c r="G429" i="1"/>
  <c r="F430" i="1"/>
  <c r="G430" i="1"/>
  <c r="F431" i="1"/>
  <c r="G431" i="1"/>
  <c r="G11" i="1"/>
  <c r="F11" i="1"/>
  <c r="E15" i="1"/>
  <c r="G15" i="1"/>
  <c r="D15" i="1"/>
  <c r="F15" i="1"/>
  <c r="E16" i="1"/>
  <c r="G16" i="1"/>
  <c r="D16" i="1"/>
  <c r="F16" i="1"/>
  <c r="E13" i="1"/>
  <c r="G13" i="1"/>
  <c r="D13" i="1"/>
  <c r="F13" i="1"/>
  <c r="B137" i="1"/>
  <c r="B31" i="1"/>
  <c r="B30" i="1"/>
  <c r="B6" i="1"/>
  <c r="B216" i="1"/>
  <c r="B65" i="1"/>
  <c r="B185" i="1"/>
  <c r="C425" i="1"/>
  <c r="C424" i="1"/>
  <c r="B411" i="1"/>
  <c r="B400" i="1"/>
  <c r="B392" i="1"/>
  <c r="B388" i="1"/>
  <c r="B373" i="1"/>
  <c r="B369" i="1"/>
  <c r="B363" i="1"/>
  <c r="C343" i="1"/>
  <c r="B338" i="1"/>
  <c r="B334" i="1"/>
  <c r="B331" i="1"/>
  <c r="B328" i="1"/>
  <c r="B431" i="1"/>
  <c r="B425" i="1"/>
  <c r="B424" i="1"/>
  <c r="B422" i="1"/>
  <c r="B401" i="1"/>
  <c r="B399" i="1"/>
  <c r="B389" i="1"/>
  <c r="B387" i="1"/>
  <c r="B361" i="1"/>
  <c r="B335" i="1"/>
  <c r="B332" i="1"/>
  <c r="B20" i="1"/>
  <c r="B309" i="1"/>
  <c r="B305" i="1"/>
  <c r="C303" i="1"/>
  <c r="B269" i="1"/>
  <c r="B271" i="1"/>
  <c r="B272" i="1"/>
  <c r="B303" i="1"/>
  <c r="B184" i="1"/>
  <c r="B186" i="1"/>
  <c r="B189" i="1"/>
  <c r="B191" i="1"/>
  <c r="B214" i="1"/>
  <c r="B218" i="1"/>
  <c r="B223" i="1"/>
  <c r="B230" i="1"/>
  <c r="B250" i="1"/>
  <c r="B256" i="1"/>
  <c r="B258" i="1"/>
  <c r="B260" i="1"/>
  <c r="B176" i="1"/>
  <c r="C186" i="1"/>
  <c r="B190" i="1"/>
  <c r="C191" i="1"/>
  <c r="B198" i="1"/>
  <c r="B207" i="1"/>
  <c r="B213" i="1"/>
  <c r="B220" i="1"/>
  <c r="B246" i="1"/>
  <c r="B249" i="1"/>
  <c r="B259" i="1"/>
  <c r="B261" i="1"/>
  <c r="B114" i="1"/>
  <c r="B136" i="1"/>
  <c r="B109" i="1"/>
  <c r="B135" i="1"/>
  <c r="B105" i="1"/>
  <c r="B108" i="1"/>
  <c r="B132" i="1"/>
  <c r="B33" i="1"/>
  <c r="B62" i="1"/>
  <c r="B63" i="1"/>
  <c r="B66" i="1"/>
  <c r="B68" i="1"/>
  <c r="B76" i="1"/>
  <c r="B86" i="1"/>
  <c r="B29" i="1"/>
  <c r="C62" i="1"/>
  <c r="B75" i="1"/>
  <c r="B19" i="1"/>
  <c r="B11" i="1"/>
  <c r="B21" i="1"/>
  <c r="B18" i="1"/>
  <c r="B227" i="1"/>
  <c r="B371" i="1"/>
  <c r="C463" i="1"/>
  <c r="C462" i="1"/>
  <c r="C460" i="1"/>
  <c r="C458" i="1"/>
  <c r="C456" i="1"/>
  <c r="C454" i="1"/>
  <c r="C461" i="1"/>
  <c r="C459" i="1"/>
  <c r="C457" i="1"/>
  <c r="C455" i="1"/>
  <c r="C453" i="1"/>
  <c r="B330" i="1"/>
  <c r="B343" i="1"/>
  <c r="B410" i="1"/>
  <c r="B420" i="1"/>
  <c r="C451" i="1"/>
  <c r="C449" i="1"/>
  <c r="C447" i="1"/>
  <c r="C445" i="1"/>
  <c r="C443" i="1"/>
  <c r="C441" i="1"/>
  <c r="C439" i="1"/>
  <c r="B463" i="1"/>
  <c r="B461" i="1"/>
  <c r="B459" i="1"/>
  <c r="B458" i="1"/>
  <c r="B455" i="1"/>
  <c r="B453" i="1"/>
  <c r="B450" i="1"/>
  <c r="B449" i="1"/>
  <c r="B447" i="1"/>
  <c r="B445" i="1"/>
  <c r="B443" i="1"/>
  <c r="B442" i="1"/>
  <c r="B438" i="1"/>
  <c r="B418" i="1"/>
  <c r="B415" i="1"/>
  <c r="B413" i="1"/>
  <c r="B404" i="1"/>
  <c r="B398" i="1"/>
  <c r="B396" i="1"/>
  <c r="B375" i="1"/>
  <c r="B367" i="1"/>
  <c r="B365" i="1"/>
  <c r="B357" i="1"/>
  <c r="B355" i="1"/>
  <c r="B353" i="1"/>
  <c r="B351" i="1"/>
  <c r="B349" i="1"/>
  <c r="B346" i="1"/>
  <c r="C452" i="1"/>
  <c r="C450" i="1"/>
  <c r="C448" i="1"/>
  <c r="C446" i="1"/>
  <c r="C444" i="1"/>
  <c r="C440" i="1"/>
  <c r="C442" i="1"/>
  <c r="B440" i="1"/>
  <c r="B462" i="1"/>
  <c r="B460" i="1"/>
  <c r="B457" i="1"/>
  <c r="B456" i="1"/>
  <c r="B454" i="1"/>
  <c r="B452" i="1"/>
  <c r="B451" i="1"/>
  <c r="B448" i="1"/>
  <c r="B444" i="1"/>
  <c r="B446" i="1"/>
  <c r="B441" i="1"/>
  <c r="B439" i="1"/>
  <c r="B417" i="1"/>
  <c r="B414" i="1"/>
  <c r="B403" i="1"/>
  <c r="B397" i="1"/>
  <c r="B395" i="1"/>
  <c r="B374" i="1"/>
  <c r="B372" i="1"/>
  <c r="B368" i="1"/>
  <c r="B364" i="1"/>
  <c r="B358" i="1"/>
  <c r="B356" i="1"/>
  <c r="B350" i="1"/>
  <c r="B347" i="1"/>
  <c r="B322" i="1"/>
  <c r="B339" i="1"/>
  <c r="B366" i="1"/>
  <c r="B412" i="1"/>
  <c r="B340" i="1"/>
  <c r="B359" i="1"/>
  <c r="C422" i="1"/>
  <c r="B177" i="1"/>
  <c r="B306" i="1"/>
  <c r="B307" i="1"/>
  <c r="C271" i="1"/>
  <c r="B268" i="1"/>
  <c r="B267" i="1"/>
  <c r="B274" i="1"/>
  <c r="C269" i="1"/>
  <c r="C262" i="1"/>
  <c r="B238" i="1"/>
  <c r="B215" i="1"/>
  <c r="C209" i="1"/>
  <c r="B183" i="1"/>
  <c r="B248" i="1"/>
  <c r="B199" i="1"/>
  <c r="B148" i="1"/>
  <c r="B257" i="1"/>
  <c r="B254" i="1"/>
  <c r="B181" i="1"/>
  <c r="B174" i="1"/>
  <c r="B172" i="1"/>
  <c r="B239" i="1"/>
  <c r="B235" i="1"/>
  <c r="B187" i="1"/>
  <c r="B182" i="1"/>
  <c r="B180" i="1"/>
  <c r="B173" i="1"/>
  <c r="B171" i="1"/>
  <c r="B244" i="1"/>
  <c r="B231" i="1"/>
  <c r="B225" i="1"/>
  <c r="B217" i="1"/>
  <c r="C187" i="1"/>
  <c r="B178" i="1"/>
  <c r="B262" i="1"/>
  <c r="B245" i="1"/>
  <c r="B226" i="1"/>
  <c r="B208" i="1"/>
  <c r="B197" i="1"/>
  <c r="C174" i="1"/>
  <c r="B153" i="1"/>
  <c r="B117" i="1"/>
  <c r="B97" i="1"/>
  <c r="B95" i="1"/>
  <c r="C117" i="1"/>
  <c r="B106" i="1"/>
  <c r="B98" i="1"/>
  <c r="B96" i="1"/>
  <c r="B110" i="1"/>
  <c r="B84" i="1"/>
  <c r="B83" i="1"/>
  <c r="B81" i="1"/>
  <c r="B78" i="1"/>
  <c r="B77" i="1"/>
  <c r="B72" i="1"/>
  <c r="B212" i="1"/>
  <c r="B64" i="1"/>
  <c r="B60" i="1"/>
  <c r="B59" i="1"/>
  <c r="B57" i="1"/>
  <c r="B54" i="1"/>
  <c r="B52" i="1"/>
  <c r="B49" i="1"/>
  <c r="B47" i="1"/>
  <c r="B44" i="1"/>
  <c r="B41" i="1"/>
  <c r="B23" i="1"/>
  <c r="C83" i="1"/>
  <c r="B80" i="1"/>
  <c r="B79" i="1"/>
  <c r="C59" i="1"/>
  <c r="B58" i="1"/>
  <c r="B53" i="1"/>
  <c r="B51" i="1"/>
  <c r="B48" i="1"/>
  <c r="B45" i="1"/>
  <c r="B42" i="1"/>
  <c r="B25" i="1"/>
  <c r="B22" i="1"/>
  <c r="B87" i="1"/>
  <c r="B69" i="1"/>
  <c r="B24" i="1"/>
  <c r="B82" i="1"/>
  <c r="B73" i="1"/>
  <c r="B67" i="1"/>
  <c r="B70" i="1"/>
  <c r="C22" i="1"/>
  <c r="B13" i="1"/>
  <c r="B16" i="1"/>
  <c r="B14" i="1"/>
  <c r="B12" i="1"/>
  <c r="B17" i="1"/>
  <c r="B15" i="1"/>
  <c r="B8" i="1"/>
  <c r="D5" i="1"/>
  <c r="C82" i="1"/>
</calcChain>
</file>

<file path=xl/sharedStrings.xml><?xml version="1.0" encoding="utf-8"?>
<sst xmlns="http://schemas.openxmlformats.org/spreadsheetml/2006/main" count="470" uniqueCount="456">
  <si>
    <t>Courtesy of Kenneth Hodges (hodges@jif.berkeley.edu)</t>
  </si>
  <si>
    <t>The list of medieval prices which follows is by no means complete or thoroughly researched; I merely extracted references from some of the books I have, and I thought others might like to inspect it. The sources I used are listed at the end. If an item is listed several times, it is because I had several references I wished to record.</t>
  </si>
  <si>
    <t>Money goes as follows:</t>
  </si>
  <si>
    <t xml:space="preserve"> 1 pound (L) = 20 shillings (s)</t>
  </si>
  <si>
    <t xml:space="preserve"> 1 crown = 5 shillings</t>
  </si>
  <si>
    <t xml:space="preserve"> 1 shilling = 12 pence (d)</t>
  </si>
  <si>
    <t xml:space="preserve"> 1 penny = 4 farthings</t>
  </si>
  <si>
    <t xml:space="preserve"> 1 mark = 13s 4d</t>
  </si>
  <si>
    <t>The French Livre, sou, and denier are equivalent to the pound, shilling and penny (Latin liber, solidus, and denarius).</t>
  </si>
  <si>
    <t>For ease, I've divided this list into the following sections: tools, horses, food and livestock, books and education, buildings, cloth and clothing, armor, weapons, marriage, funerals, travel, miscellaneous goods, and wages.</t>
  </si>
  <si>
    <t>Of course, a price list is a misleading guide to a feudal economy, because so many goods were either produced within a household, or supplied by a lord. Retainers could get money, but they would also get food, lodging, weapons (sometimes), and cloth. Knights Templar were provided with clothes, horses, and armor.</t>
  </si>
  <si>
    <t xml:space="preserve">                                  TOOLS</t>
  </si>
  <si>
    <t>Item                            Price       Date        Source  Page</t>
  </si>
  <si>
    <t>2 yokes                         4s          c1350       [3]     170</t>
  </si>
  <si>
    <t>Foot iron of plough             5d            "          "       "</t>
  </si>
  <si>
    <t>3 mason's tools (not named)     9d            "          "       "</t>
  </si>
  <si>
    <t>1 spade and shovel              3d          1457         "       "</t>
  </si>
  <si>
    <t>1 axe                           5d            "          "       "</t>
  </si>
  <si>
    <t>1 augur                         3d            "          "       "</t>
  </si>
  <si>
    <t>1 vise                          13s 4d      1514        [5]     27-28</t>
  </si>
  <si>
    <t>Large biciron                   60s           "          "        "</t>
  </si>
  <si>
    <t>Small biciron                   16s           "          "        "</t>
  </si>
  <si>
    <t>Anvil                           20s           "          "        "</t>
  </si>
  <si>
    <t>Bellows                         30s           "          "        "</t>
  </si>
  <si>
    <t>Hammers                         8d-2s 8d      "          "        "</t>
  </si>
  <si>
    <t>2 chisels                       8d            "          "        "</t>
  </si>
  <si>
    <t>Compete set of armorer's tools  £13 16s 11d   "          "        "</t>
  </si>
  <si>
    <t>Spinning Wheel                  10 d         1457       [3]     170</t>
  </si>
  <si>
    <t xml:space="preserve">                                  HORSES</t>
  </si>
  <si>
    <t>War Horse                       up to 50s   12 cen  (?) [7]     30</t>
  </si>
  <si>
    <t>War Horse                       up to £80   13 cen      [3]     72</t>
  </si>
  <si>
    <t>Knight's 2 horses               £10         1374         "      76</t>
  </si>
  <si>
    <t>High-grade riding horse         £10         13th cen     "      72</t>
  </si>
  <si>
    <t>Draught horse                   10s-20s     13th cen     "       "</t>
  </si>
  <si>
    <t xml:space="preserve">                           </t>
  </si>
  <si>
    <t xml:space="preserve">Note: Horse prices varied dramatically; for instance, they doubled </t>
  </si>
  <si>
    <t xml:space="preserve">between 1210 and 1310.  ([3], p. 37).                               </t>
  </si>
  <si>
    <t xml:space="preserve">                            FOOD AND LIVESTOCK                      </t>
  </si>
  <si>
    <t>Wine:</t>
  </si>
  <si>
    <t xml:space="preserve">  Best Gascon in London         4d/gallon   1331        [2]     194</t>
  </si>
  <si>
    <t xml:space="preserve">  Best Rhenish in London        8d/gallon     "          "       "</t>
  </si>
  <si>
    <t xml:space="preserve">  Cheapest                      3d-4d/gal   Late 13 cen [3]     62</t>
  </si>
  <si>
    <t xml:space="preserve">  Best                          8d-10d/gal    "          "       "</t>
  </si>
  <si>
    <t>Ale (beer comes later):</t>
  </si>
  <si>
    <t xml:space="preserve">  Good                          1.5d/gal    14 cen      [2]     201</t>
  </si>
  <si>
    <t xml:space="preserve">  Medium                        1d/gal        "          "       "</t>
  </si>
  <si>
    <t xml:space="preserve">  Poor                          .75d/gal      "          "       "</t>
  </si>
  <si>
    <t>Ale:</t>
  </si>
  <si>
    <t xml:space="preserve">  Second-rate                   .75-1d/gal    "          "       "</t>
  </si>
  <si>
    <t>Ale (best):</t>
  </si>
  <si>
    <t xml:space="preserve">  Somerset                      .75d        1338        [3]     210</t>
  </si>
  <si>
    <t xml:space="preserve">  London                        1.25d        "           "       "</t>
  </si>
  <si>
    <t>Beer, good                      1d/quart    late 16 cen [8]     xx</t>
  </si>
  <si>
    <t>Dried Fruit (eg raisins, dates, 1-4d/lb, up</t>
  </si>
  <si>
    <t xml:space="preserve">  figs, prunes), almonds, rice  to 6d rare  14 cen(?)   [3]     62-63</t>
  </si>
  <si>
    <t>Spices (cinnamon, cloves, mace,</t>
  </si>
  <si>
    <t xml:space="preserve">  pepper, sugar, etc).          1-3s/lb       "          "        "</t>
  </si>
  <si>
    <t>Pepper                          4s/lb       mid 13 cen  [9]     218</t>
  </si>
  <si>
    <t>Pepper                          6d/.5lb     1279-1280   [3]     11</t>
  </si>
  <si>
    <t>Saffron                         12s-15s/lb  14 cen(?)   [3]     62-63</t>
  </si>
  <si>
    <t>Cow (good)                      10s         12 cen(?)   [7]     30</t>
  </si>
  <si>
    <t>Cow                             9s 5d       mid 14th    [1]     99</t>
  </si>
  <si>
    <t>Cow                             6s          1285-1290   [3]     206</t>
  </si>
  <si>
    <t>Ox                              13s 1.25d   mid 14 cen  [1]     99</t>
  </si>
  <si>
    <t>Sheep                           1s 5d         "          "       "</t>
  </si>
  <si>
    <t>Wether (castrated ram):</t>
  </si>
  <si>
    <t xml:space="preserve">  Somerset                      9d-10d      1338        [3]     210</t>
  </si>
  <si>
    <t xml:space="preserve">  London                        1s 5d        "           "       "</t>
  </si>
  <si>
    <t>Pig:</t>
  </si>
  <si>
    <t xml:space="preserve">  Somerset                      2s          1338        [3]     210</t>
  </si>
  <si>
    <t xml:space="preserve">  London                        3s           "           "       "</t>
  </si>
  <si>
    <t>Fowl                            1d            "          "       "</t>
  </si>
  <si>
    <t>2 Chickens                      1d          14 cen      [4]     78</t>
  </si>
  <si>
    <t>2 Dozen Eggs                    1d            "          "       "</t>
  </si>
  <si>
    <t>Goose (in London)               6d (legal)</t>
  </si>
  <si>
    <t xml:space="preserve">                                7d-8d asked 1375        [2]     198</t>
  </si>
  <si>
    <t>80 lb cheese                    3s 4d       late 13 cen [3]     114</t>
  </si>
  <si>
    <t>Salted herring (wholesale)      5-10/1d     1382        [2]     198-199</t>
  </si>
  <si>
    <t>Salt conger                     6d each     1422-1423   [3]     69</t>
  </si>
  <si>
    <t xml:space="preserve">Oats:                            </t>
  </si>
  <si>
    <t xml:space="preserve">  Somerset                      1s/quarter  1338         "      210</t>
  </si>
  <si>
    <t xml:space="preserve">  London                        2s 2d per    "           "       "</t>
  </si>
  <si>
    <t xml:space="preserve">                                 quarter</t>
  </si>
  <si>
    <t>Cost of feeding a knight's or   £30-£60,    15 cen      [3]     199</t>
  </si>
  <si>
    <t xml:space="preserve">  merchants household per year  up to £100</t>
  </si>
  <si>
    <t xml:space="preserve">Related note: around 1380, these are the average costs per day of feeding </t>
  </si>
  <si>
    <t>groom, 1d.</t>
  </si>
  <si>
    <t xml:space="preserve">                           BOOKS AND EDUCATION</t>
  </si>
  <si>
    <t>Monastary School                £2 (approx) 1392-1393   [3]     75</t>
  </si>
  <si>
    <t xml:space="preserve">                                per year</t>
  </si>
  <si>
    <t>Schoolmaster at Croyden:</t>
  </si>
  <si>
    <t xml:space="preserve">  Board                         2s/week*    1394        [2]     186</t>
  </si>
  <si>
    <t xml:space="preserve">  Instruction                   13s 4d/year  "           "       "</t>
  </si>
  <si>
    <t>Oxford:</t>
  </si>
  <si>
    <t xml:space="preserve">  Board                         104s/year   1374         "       "</t>
  </si>
  <si>
    <t xml:space="preserve">  Clothing                      40s/year     "           "       "</t>
  </si>
  <si>
    <t xml:space="preserve">  Instruction                   26s 8d/year  "           "       "</t>
  </si>
  <si>
    <t xml:space="preserve">University:                     </t>
  </si>
  <si>
    <t xml:space="preserve">  Minimum                       £2£L3/year  Late 14 cen [3]     75</t>
  </si>
  <si>
    <t xml:space="preserve">  Student of good birth         £4£L10/year  "           "       "</t>
  </si>
  <si>
    <t>Fencing Instruction             10s/month   Late 16 cen [8]     xx</t>
  </si>
  <si>
    <t>7 Books                         £5 (approx) 1479        [3]     76</t>
  </si>
  <si>
    <t>126 Books                       £113        1397        [3]     77</t>
  </si>
  <si>
    <t>To Rent a book                  .5d-1d per  mid 13 cen  [9]     172</t>
  </si>
  <si>
    <t xml:space="preserve">                                pecia**</t>
  </si>
  <si>
    <t xml:space="preserve">* Source says 2s/day.  This is not only insanely high, but the text also </t>
  </si>
  <si>
    <t xml:space="preserve">claims that the board was the same as at Oxford--i.e., 2s/week or </t>
  </si>
  <si>
    <t>104s/year.</t>
  </si>
  <si>
    <t xml:space="preserve">** A pecia is 16 columns of 62 lines of 32 letters, i.e., 31 744 letters, </t>
  </si>
  <si>
    <t xml:space="preserve">or about 7 500 - 8 000 words.  Rental period is not specified, but I </t>
  </si>
  <si>
    <t xml:space="preserve">would guess a year; books were rented to be copied, and copying the Bible </t>
  </si>
  <si>
    <t>took 15 months.  See [9], p. 172.</t>
  </si>
  <si>
    <t xml:space="preserve">                                BUILDINGS</t>
  </si>
  <si>
    <t>Rent per annum for 138 shops on</t>
  </si>
  <si>
    <t xml:space="preserve">  London Bridge                 £160 4s     1365        [2]     114</t>
  </si>
  <si>
    <t>Rent cottage                    5s/year     14 cen(?)   [3]     208</t>
  </si>
  <si>
    <t>Rent craftsman's house          20s/year     "           "       "</t>
  </si>
  <si>
    <t>Rent merchant's house           £2£L3/year   "           "       "</t>
  </si>
  <si>
    <t>Cottage (1 bay, 2 storeys)      £2          early 14 cen "      205</t>
  </si>
  <si>
    <t>Row house in York (well built)  up to £5     "           "       "</t>
  </si>
  <si>
    <t>Modest hall and chamber, not</t>
  </si>
  <si>
    <t xml:space="preserve">  including materials           £12         1289        [3]     79-80</t>
  </si>
  <si>
    <t>Merchant's house                £33£L66     early 14 cen [3]    205</t>
  </si>
  <si>
    <t>House with courtyard            £90+         "           "       "</t>
  </si>
  <si>
    <t>Large tiled barn                £83         1309-1310   [3]     79</t>
  </si>
  <si>
    <t xml:space="preserve">  Contract                      £5 6s 8d +  1341        [3]     81</t>
  </si>
  <si>
    <t xml:space="preserve">                                builder's </t>
  </si>
  <si>
    <t xml:space="preserve">                                clothing</t>
  </si>
  <si>
    <t xml:space="preserve">  Estimated total               £16          "           "       "</t>
  </si>
  <si>
    <t>Stone Gatehouse (40' X 18'):</t>
  </si>
  <si>
    <t xml:space="preserve">  with all except stone         £16 13s 4d  1313        [3]     79-80</t>
  </si>
  <si>
    <t xml:space="preserve">  estimated with stone          £30          "           "        "</t>
  </si>
  <si>
    <t>Tower in castle's curtain wall  £333, L395  late 14 cen  "        "</t>
  </si>
  <si>
    <t>Castle &amp; college at Tattershall £450/annum  1434-1446    "      81</t>
  </si>
  <si>
    <t xml:space="preserve">                                for 13 years</t>
  </si>
  <si>
    <t>Transept of Gloucester Abbey    £781        1368-1373   [3]     79-80</t>
  </si>
  <si>
    <t>Stonework of church (125', no   £113        13 cen(?)    "        "</t>
  </si>
  <si>
    <t xml:space="preserve">  tower)                        (contract)</t>
  </si>
  <si>
    <t xml:space="preserve">note: tithes were often calculated at 1d a week for every 20s of annual </t>
  </si>
  <si>
    <t>rent paid (4, p. 208).</t>
  </si>
  <si>
    <t xml:space="preserve">  </t>
  </si>
  <si>
    <t xml:space="preserve">                            CLOTH AND CLOTHING</t>
  </si>
  <si>
    <t>Fashionable gown                easily £10, late 14 cen [2]     53</t>
  </si>
  <si>
    <t xml:space="preserve">                                up to £50</t>
  </si>
  <si>
    <t>Gentry:</t>
  </si>
  <si>
    <t xml:space="preserve">  Shoes                         4d          1470s       [3]     79</t>
  </si>
  <si>
    <t xml:space="preserve">  Boots                         6d            "          "       "</t>
  </si>
  <si>
    <t xml:space="preserve">  Purse                         1.5d          "          "       "</t>
  </si>
  <si>
    <t xml:space="preserve">  Hat                           10d, 1s 2d    "          "       "</t>
  </si>
  <si>
    <t>Craftsman's tabard and super-</t>
  </si>
  <si>
    <t xml:space="preserve">  tunic                         3s          1285-1290   [3]     206</t>
  </si>
  <si>
    <t>Reeve's murrey (dark brown) robe 6s 4d      1349-1352    "      176</t>
  </si>
  <si>
    <t>Reeve's red robe                5s 3d           "        "       "</t>
  </si>
  <si>
    <t>Peasants (wealthy):</t>
  </si>
  <si>
    <t xml:space="preserve">  Linen Chemise                 8d          1313        [3]     175</t>
  </si>
  <si>
    <t xml:space="preserve">  Shoes                         6d           "           "       "</t>
  </si>
  <si>
    <t xml:space="preserve">  Woolen garment                3s           "           "       "</t>
  </si>
  <si>
    <t xml:space="preserve">  Fur-lined garments            6s 8d       early 14 cen "       "</t>
  </si>
  <si>
    <t xml:space="preserve">  Tunic                         3s           "           "       "</t>
  </si>
  <si>
    <t xml:space="preserve">  Linen                         1s           "           "       "</t>
  </si>
  <si>
    <t>Landless serfs' tunics          1d-6d       mid 14 cen   "      176</t>
  </si>
  <si>
    <t>Cloth for peasant tunics        8d-1s 3d    early 14 cen "       "</t>
  </si>
  <si>
    <t xml:space="preserve">                                per yard</t>
  </si>
  <si>
    <t>Best Wool                       5s/yard     1380        [3]     78</t>
  </si>
  <si>
    <t>"Tawny and russet"              6s/yard     1479-1482    "      "</t>
  </si>
  <si>
    <t xml:space="preserve">Silk                            10s-12s     15 cen(?)    "      " </t>
  </si>
  <si>
    <t>Furs added to garment           +£2-£3 to   15 cen(?)   "       79</t>
  </si>
  <si>
    <t xml:space="preserve">                                garment</t>
  </si>
  <si>
    <t>The worth of cloth provided</t>
  </si>
  <si>
    <t xml:space="preserve">  yearly by a lord to:</t>
  </si>
  <si>
    <t xml:space="preserve">  esquires                      2s 11d/yard 1289-1290   [3]     78</t>
  </si>
  <si>
    <t xml:space="preserve">  yeomen                        2s/yard         "        "       "</t>
  </si>
  <si>
    <t xml:space="preserve">  lesser servants               1s 7d/yard      "        "       "</t>
  </si>
  <si>
    <t xml:space="preserve">Note: loose tunics take 2.25-2.5 yards.  In the late 14th century, </t>
  </si>
  <si>
    <t xml:space="preserve">shorter doubled (lined) tunics, known as doublets, became fashionable, </t>
  </si>
  <si>
    <t xml:space="preserve">requiring 4 yards ([3], pp 175,176). </t>
  </si>
  <si>
    <t xml:space="preserve">                                  ARMOR</t>
  </si>
  <si>
    <t>Mail                            100s        12 cen(??   [7]     30</t>
  </si>
  <si>
    <t>Ready-made Milanese armor       £8 6s 8d    1441        [4]     112</t>
  </si>
  <si>
    <t>Squire's armor                  £5-£6 16s 8d "           "       "</t>
  </si>
  <si>
    <t xml:space="preserve">Armor for Prince of Wales, </t>
  </si>
  <si>
    <t xml:space="preserve">  "gilt and graven"             £340        1614        [5]     20</t>
  </si>
  <si>
    <t>Complete Lance Armor            £3 6s 8d    1590        [5]     185</t>
  </si>
  <si>
    <t>Complete corselets              30s          "           "       "</t>
  </si>
  <si>
    <t>Cuirass of proof with pauldrons 40s          "           "       "</t>
  </si>
  <si>
    <t>Normal cuirass with pauldrons   26s 8d       "           "       "</t>
  </si>
  <si>
    <t>Target of proof                 30s          "           "       "</t>
  </si>
  <si>
    <t>Morion                          3s 4d        "           "       "</t>
  </si>
  <si>
    <t>Burgonet                        4s           "           "       "</t>
  </si>
  <si>
    <t>Cuirass of pistol-proof with</t>
  </si>
  <si>
    <t xml:space="preserve">  pauldrons                     £1 6s       1624        [5]     189-190</t>
  </si>
  <si>
    <t>Cuirass without pauldrons       £1           "           "         "</t>
  </si>
  <si>
    <t>Lance Armor                     £4           "           "         "</t>
  </si>
  <si>
    <t>Targets of Proof                24s          "           "         "</t>
  </si>
  <si>
    <t>Cuirass with cap                £4           "           "         "</t>
  </si>
  <si>
    <t>Armor of proof                  £14 2s 8d   1667         "      68</t>
  </si>
  <si>
    <t>Bascinet                        13s 4d +    1369         "      88</t>
  </si>
  <si>
    <t xml:space="preserve">                                3s 4d to</t>
  </si>
  <si>
    <t xml:space="preserve">                                line it</t>
  </si>
  <si>
    <t>Armor in a merchant's house</t>
  </si>
  <si>
    <t xml:space="preserve">  (leather?)                    5s          1285-1290   [3]     206</t>
  </si>
  <si>
    <t>Total Armor owned by a knight   £16 6s 8d   1374         "      76</t>
  </si>
  <si>
    <t>Armor in house of Thomas of</t>
  </si>
  <si>
    <t xml:space="preserve">  Woodstock, duke of Gloucester £103        1397         "      77</t>
  </si>
  <si>
    <t>Fee for cleaning rust off</t>
  </si>
  <si>
    <t xml:space="preserve">  corselets                     5d each     1567        [5]     80</t>
  </si>
  <si>
    <t>Fee for varnishing, replacing</t>
  </si>
  <si>
    <t xml:space="preserve">  straps, and rivetting helmet</t>
  </si>
  <si>
    <t xml:space="preserve">  and corselet                  1s 4d       1613        [5]     90</t>
  </si>
  <si>
    <t xml:space="preserve">Barrel for cleaning mail        9d          1467        [5]     79 </t>
  </si>
  <si>
    <t>Note: mail is chainmail; almost all the rest is plate-armor. The armor of the knight in 1374 was probably mail with some plates; same for Gloucester's. Mail was extremely susceptible to rust, and was cleaned by rolling it in sand and vinegar in a barrel. Pauldrons are shoulder plates; morions are open helms, burgonets and bascinets closed helms; and a target refers to any of a number different kind of shields. Armor of proof is tested during the making with blows or shots from the strongest weapons of the time; if a weapon is listed, the armor does not claim to be proof against everything, only that it is proof up to that weapon's strength (eg pistol proof is not musket proof, but may be sword proof). All plate armor was lined with cloth, to pad the wearer, quiet the armor, and reduce wear between the pieces. This, along with the necessary straps, was a significant amount of the expense. An armorer asking for money to set up shop in 1624 estimated production costs and profit for a number of different types of armor: I give two examples below ([5], pp. 189-190).</t>
  </si>
  <si>
    <t xml:space="preserve">Cuirass of proof with pauldrons: </t>
  </si>
  <si>
    <t xml:space="preserve">  plates:                         5s 6d</t>
  </si>
  <si>
    <t xml:space="preserve">  finishing, rivets, and straps:  7s 6d</t>
  </si>
  <si>
    <t xml:space="preserve">  selling price                  26s</t>
  </si>
  <si>
    <t>Lance armor:</t>
  </si>
  <si>
    <t xml:space="preserve">  plates                        14s 5d</t>
  </si>
  <si>
    <t xml:space="preserve">  finishing, et cetera          40s</t>
  </si>
  <si>
    <t xml:space="preserve">  selling price                 80s</t>
  </si>
  <si>
    <t xml:space="preserve">                                 WEAPONS</t>
  </si>
  <si>
    <t>Cheap sword (peasant's)         6d          1340s       [3]     174</t>
  </si>
  <si>
    <t xml:space="preserve">Pair of wheel-lock pistols, </t>
  </si>
  <si>
    <t xml:space="preserve">  with tools for them           £2 16s      mid 17th    [4]     208</t>
  </si>
  <si>
    <t>Holsters for pistols            6d             "         "       "</t>
  </si>
  <si>
    <t>Wheel-lock carbine              £1 10s         "         "       "</t>
  </si>
  <si>
    <t>Shoulder belt for carbine       1s             "         "       "</t>
  </si>
  <si>
    <t>Pair of flintlock pistols       £2 5s          "         "       "</t>
  </si>
  <si>
    <t>Flintlock carbine               £1 2s          "         "       "</t>
  </si>
  <si>
    <t>Musket                          16s 6d-18s 6d  "         "       "</t>
  </si>
  <si>
    <t>Note: Sorry, folks, that's all I found. It was mandatory in England for all freemen to own certain types of weapons and armor. (In 1181 every freeman having goods worth 10 marks (1 mark = 13s 4d) had to have a mail shirt, a helmet, and a spear. All other freemen should have helmet, spear, and gambeson (quilted armor) [4], p. 39.) Later, the government stored arms and armour in churches for use; in the 13th century anyone with an income of £2-£5 (wealthy peasants) had to have bows; archery practice became compulsory on Sundays and holidays. You may know that the extreme range of the longbow was 400 yards, but did you know that a statute of Henry VIII no one over 24 could practice at a range of less than 220 yards? (See [4], p. 95 and elsewhere). Note: for guessing prices, see the section on tools (an axe for 5d). An armorer might make 24s a month; say a week to make a decent sword, and you might get a price that way. See the section on books and education for fencing instruction.</t>
  </si>
  <si>
    <t xml:space="preserve">                                 MARRIAGE</t>
  </si>
  <si>
    <t xml:space="preserve">Sample peasant dowries:         13s 4d,     14 cen(?)   [3]     179 </t>
  </si>
  <si>
    <t xml:space="preserve">                                35s 11d,</t>
  </si>
  <si>
    <t xml:space="preserve">                                57s, 63s 4d</t>
  </si>
  <si>
    <t>For serfs, mechet (fees) to lord,</t>
  </si>
  <si>
    <t xml:space="preserve">  depending on wealth           1s-13s 4d   14 cen(?)   [3]     179</t>
  </si>
  <si>
    <t>Wedding feast, wealthy peasant  20s           "          "       "</t>
  </si>
  <si>
    <t>Wealthy peasant wedding total   £3-£4         "          "       "</t>
  </si>
  <si>
    <t>Dowry for esquire's daughter    up to £66   15 cen       "      84</t>
  </si>
  <si>
    <t xml:space="preserve">                                13s 4d</t>
  </si>
  <si>
    <t>Dowry for baron's daughter      £1000 +       "          "       "</t>
  </si>
  <si>
    <t>London parents (both sets)</t>
  </si>
  <si>
    <t xml:space="preserve">  each offered couple           £100        1385        [2]     154</t>
  </si>
  <si>
    <t>Note: these costs will be wildly varying depending on circumstance.</t>
  </si>
  <si>
    <t xml:space="preserve">                                 FUNERALS</t>
  </si>
  <si>
    <t>Cheap gentlewoman's funeral</t>
  </si>
  <si>
    <t xml:space="preserve">  (bell-ringing, clergy, food)  £7          1497        [3]     85</t>
  </si>
  <si>
    <t>Brass monument, with a figure</t>
  </si>
  <si>
    <t xml:space="preserve">  incised, on marble base--</t>
  </si>
  <si>
    <t xml:space="preserve">  fitting for lesser aristocrat £8          early 14 cen "       "</t>
  </si>
  <si>
    <t xml:space="preserve">Bishop Mitford's funeral </t>
  </si>
  <si>
    <t xml:space="preserve">  (with 1450 guests!)           £130+       1407         "       "</t>
  </si>
  <si>
    <t>Memorial Chapel for Richard</t>
  </si>
  <si>
    <t xml:space="preserve">  Beauchamp, earl of Warwick    £2481       1439-1463    "       "</t>
  </si>
  <si>
    <t>Bronze effigy on guilded tomb   £400            "        "       "</t>
  </si>
  <si>
    <t xml:space="preserve">Note: Christopher Dyer gives as a rough rule of thumb 1 year's income for </t>
  </si>
  <si>
    <t>a funeral ([3], p. 85)</t>
  </si>
  <si>
    <t xml:space="preserve">                                  TRAVEL</t>
  </si>
  <si>
    <t>Queen's chariot                 £400        14 cen      [1]     99</t>
  </si>
  <si>
    <t>Lady Eleanor's chariot          £1000       14 cen      [1]     99</t>
  </si>
  <si>
    <t>Chariot                         £8          1381        [3]     72</t>
  </si>
  <si>
    <t>Chariot maintence               1-3s/year   14 cen       "      "</t>
  </si>
  <si>
    <t>Barge                           £10           "          "      "</t>
  </si>
  <si>
    <t>Iron-bound cart                 4s          c1350        "      170</t>
  </si>
  <si>
    <t>Guide for a night               1d          14 cen      [1]     129</t>
  </si>
  <si>
    <t>Ferry ride per horseman         1d           "           "       "</t>
  </si>
  <si>
    <t>Keeping an earl's warhorse</t>
  </si>
  <si>
    <t xml:space="preserve">  82 days in summer             36s 9.5d    1287        [3]     71</t>
  </si>
  <si>
    <t xml:space="preserve">Note: [1], pp 126-129, gives the following prices at an inn in 1331.  For </t>
  </si>
  <si>
    <t xml:space="preserve">                              MISCELLANEOUS</t>
  </si>
  <si>
    <t>6 silver spoons                 14s         1382        [2]     24</t>
  </si>
  <si>
    <t>2 gold rings with diamonds      £15          "           "       "</t>
  </si>
  <si>
    <t>Gold Ring with ruby             26s 8d       "           "       "</t>
  </si>
  <si>
    <t>3 strings of pearls             70s          "           "       "</t>
  </si>
  <si>
    <t>6 gold necklaces                100s         "           "       "</t>
  </si>
  <si>
    <t>Fee to enroll an apprentice:</t>
  </si>
  <si>
    <t xml:space="preserve">  with mercers (cloth dealers)  2s          14 cen      [2]     111</t>
  </si>
  <si>
    <t xml:space="preserve">  with carpenters               1s            "          "       "</t>
  </si>
  <si>
    <t>Fee to join guild at end of</t>
  </si>
  <si>
    <t xml:space="preserve">  apprenticeship:</t>
  </si>
  <si>
    <t xml:space="preserve">  with mercers                  20s           "         [2]     111</t>
  </si>
  <si>
    <t xml:space="preserve">  with carpenters               3s 4d         "          "       "</t>
  </si>
  <si>
    <t>Fee to join guild               6s 8d-£3    14 cen(?)   [3]     208</t>
  </si>
  <si>
    <t>Fee to gain freedom of a town</t>
  </si>
  <si>
    <t xml:space="preserve">  (to enjoy its exemption from</t>
  </si>
  <si>
    <t xml:space="preserve">  feudal duties)                3s 4d-20s   14 cen(?)   [3]     208</t>
  </si>
  <si>
    <t>To empty a cesspit in a city    6s 8d       15 cen(?)   [3]     209</t>
  </si>
  <si>
    <t>Candles</t>
  </si>
  <si>
    <t xml:space="preserve">  Somerset                      1.5d/lb     1338        [3]     210</t>
  </si>
  <si>
    <t xml:space="preserve">  London                        2d-2.5d/lb   "           "       "</t>
  </si>
  <si>
    <t xml:space="preserve">  tallow                        1.5d/lb     15 cen(?)   [3]     74</t>
  </si>
  <si>
    <t xml:space="preserve">  wax                           6.5d/lb     1406-1407    "      "</t>
  </si>
  <si>
    <t>Vat                             4d          1457        [3]     170</t>
  </si>
  <si>
    <t>Barrel                          3d           "           "       "</t>
  </si>
  <si>
    <t>Bottle                          4d           "           "       "</t>
  </si>
  <si>
    <t>2 buckets                       1s           "           "       "</t>
  </si>
  <si>
    <t>1 sheet                         4d           "           "       "</t>
  </si>
  <si>
    <t>1 mattress                      2d           "           "       "</t>
  </si>
  <si>
    <t>4 pillows                       4d           "           "       "</t>
  </si>
  <si>
    <t>3 boards for a bed              4d           "           "       "</t>
  </si>
  <si>
    <t>2 sheets, 4 blankets            5s 8p       1349-1352    "       "</t>
  </si>
  <si>
    <t>16 bedspreads, 20 sheets,</t>
  </si>
  <si>
    <t xml:space="preserve">  8 featherbeds                 £3 1s       1285-1290   [3]     206</t>
  </si>
  <si>
    <t xml:space="preserve">Duke's bed of cloth of gold, </t>
  </si>
  <si>
    <t xml:space="preserve">  with blue satin canopy        £182 3s     1397        [3]     77</t>
  </si>
  <si>
    <t>Table                           6d          1457        [3]     170</t>
  </si>
  <si>
    <t xml:space="preserve">Chair                           3d           "           "       " </t>
  </si>
  <si>
    <t>Chest with necessaries thereto  2s 2d        "           "       "</t>
  </si>
  <si>
    <t>2 chests                        6d each      "           "       "</t>
  </si>
  <si>
    <t>Metal ewer                      6d          1349-1352    "       "</t>
  </si>
  <si>
    <t>Brass pot                       2s              "        "       "</t>
  </si>
  <si>
    <t>Basin and ewer                  8d              "        "       "</t>
  </si>
  <si>
    <t>Basin and ewer                  2s 8d           "        "       "</t>
  </si>
  <si>
    <t>Towel                           6d              "        "       "</t>
  </si>
  <si>
    <t>Coffer                          1s              "        "       "</t>
  </si>
  <si>
    <t>2 stools                        8d              "        "       "</t>
  </si>
  <si>
    <t>Ceramic cooking pot             .5d         1340s        "      174</t>
  </si>
  <si>
    <t xml:space="preserve">Note: most of these come from inventories of peasants' belongings.  The </t>
  </si>
  <si>
    <t>fine goods would be more expensive.</t>
  </si>
  <si>
    <t xml:space="preserve">Note about lighting: great houses could use 100 lb of wax and tallow in a </t>
  </si>
  <si>
    <t xml:space="preserve">single winter night ([3], p. 74).  Others, not as rich, would go to sleep </t>
  </si>
  <si>
    <t>earlier.</t>
  </si>
  <si>
    <t xml:space="preserve">                                  WAGES</t>
  </si>
  <si>
    <t>Profession                      Wage        Date        Source  Page</t>
  </si>
  <si>
    <t>Mercenaries:</t>
  </si>
  <si>
    <t xml:space="preserve">  knight banneret               4s/day      1316        [4]     78</t>
  </si>
  <si>
    <t xml:space="preserve">  knight                        2s/day       "           "       "</t>
  </si>
  <si>
    <t xml:space="preserve">  man-at-arms or squire         1s/day       "           "       "</t>
  </si>
  <si>
    <t>Regular Army</t>
  </si>
  <si>
    <t xml:space="preserve">  Esquires, constables, and </t>
  </si>
  <si>
    <t xml:space="preserve">    centenars                   1s/day      1346        [4]     79</t>
  </si>
  <si>
    <t xml:space="preserve">  Mounted archers, armored</t>
  </si>
  <si>
    <t xml:space="preserve">    infantry, hobilars, </t>
  </si>
  <si>
    <t xml:space="preserve">    vintenars                   6d/day       "           "       "</t>
  </si>
  <si>
    <t xml:space="preserve">  Welsh vintenars               4d/day       "           "       "</t>
  </si>
  <si>
    <t xml:space="preserve">  Archers                       3d/day       "           "       "</t>
  </si>
  <si>
    <t xml:space="preserve">  Welsh infantry                2d/day       "           "       "</t>
  </si>
  <si>
    <t xml:space="preserve">  Captain                       8s/day      late 16 cen [4]     181</t>
  </si>
  <si>
    <t xml:space="preserve">  Lieutenant                    4s/day        "          "       "</t>
  </si>
  <si>
    <t xml:space="preserve">  Ensign                        2s/day        "          "       "</t>
  </si>
  <si>
    <t xml:space="preserve">  Drummer or trumpeter          20d/day       "          "       "</t>
  </si>
  <si>
    <t xml:space="preserve">  cavalryman                    18d/day       "          "       "</t>
  </si>
  <si>
    <t xml:space="preserve">  infantry                      8d/day        "          "       "</t>
  </si>
  <si>
    <t>Laborer                         £2/year max c1300       [3]     29</t>
  </si>
  <si>
    <t>Crown revenues (at peace)       £30 000     c1300        "       "</t>
  </si>
  <si>
    <t>Barons per year                 £200-500+   c1300        "       "</t>
  </si>
  <si>
    <t>Earls  per year                 £400-£11000 c1300        "       "</t>
  </si>
  <si>
    <t>Sergeant at Law (top lawyer)    £300/year   1455         "      47</t>
  </si>
  <si>
    <t>Chief armorer                   26s 8d/month 1544       [5]     182</t>
  </si>
  <si>
    <t>Other armorers in same shop     24s/month   1544         "       "</t>
  </si>
  <si>
    <t xml:space="preserve">  except "Old Martyn" who made  38s 10d/month 1544       "       "</t>
  </si>
  <si>
    <t>Apprentices in same shop        6d/day      1544         "       "</t>
  </si>
  <si>
    <t>Master mason                    4d/day      1351        [2]     24</t>
  </si>
  <si>
    <t>Master carpenter                3d/day       "           "       "</t>
  </si>
  <si>
    <t xml:space="preserve">Carpenters' Guild stipend to </t>
  </si>
  <si>
    <t xml:space="preserve">  a sick member                 14d/week    1333        [2]     156</t>
  </si>
  <si>
    <t>Weavers                         5d/day, no  1407        [2]     146</t>
  </si>
  <si>
    <t xml:space="preserve">                                food</t>
  </si>
  <si>
    <t>Chantry priest per year         £4 13s 4d   1379        [2]     24</t>
  </si>
  <si>
    <t>Squires per annum               13s 4d-£1   14 cen      [1]     116-117</t>
  </si>
  <si>
    <t>Carters, porters, falconers     5s-8s 8d    14 cen      [1]     116-117</t>
  </si>
  <si>
    <t xml:space="preserve">  grooms, messengers            per year</t>
  </si>
  <si>
    <t>Kitchen servants                2s-4s/year  14 cen      [1]     116-117</t>
  </si>
  <si>
    <t>Boys and pages                  1s-6s/year  14 cen      [1]     116-117</t>
  </si>
  <si>
    <t>Wardens of London Bridges       £10/year    1382        [2]     128</t>
  </si>
  <si>
    <t xml:space="preserve">Note: sheriffs of London paid 300 £s per year, hoping to make a profit from </t>
  </si>
  <si>
    <t>the fines they collected.</t>
  </si>
  <si>
    <t xml:space="preserve">Note: 30 adult sheep could produce about 20s of wool per year in 1299 </t>
  </si>
  <si>
    <t>([3], p. 114).</t>
  </si>
  <si>
    <t xml:space="preserve">Note: To get a VERY ROUGH sense of money, I reproduce the following chart </t>
  </si>
  <si>
    <t>from Dyer ([3], p. 206).  These are averages of daily wages in pence.</t>
  </si>
  <si>
    <t>Decade        Thatcher          Thatcher's mate</t>
  </si>
  <si>
    <t>1261-70       2                 -</t>
  </si>
  <si>
    <t>1271-80       2.5               1</t>
  </si>
  <si>
    <t>1281-90       2.25              1</t>
  </si>
  <si>
    <t>1291-1300     2.5               1</t>
  </si>
  <si>
    <t>1301-10       2.5               1</t>
  </si>
  <si>
    <t>1311-20       3                 1.25</t>
  </si>
  <si>
    <t>1321-30       3                 1</t>
  </si>
  <si>
    <t>1331-40       3                 1.25</t>
  </si>
  <si>
    <t>1341-50       3                 1.25</t>
  </si>
  <si>
    <t>1351-60       3.5               2</t>
  </si>
  <si>
    <t>1361-70       3.5               2</t>
  </si>
  <si>
    <t>1371-80       4.25              2.5</t>
  </si>
  <si>
    <t>1381-90       4                 2.25</t>
  </si>
  <si>
    <t>1391-1400     4.25              2.75</t>
  </si>
  <si>
    <t>1401-10       4.5               3</t>
  </si>
  <si>
    <t>1411-20       4.75              3</t>
  </si>
  <si>
    <t>1421-30       4.5               3</t>
  </si>
  <si>
    <t>1431-40       4.5               3.25</t>
  </si>
  <si>
    <t>1441-50       5.25              4</t>
  </si>
  <si>
    <t>1451-60       5.5               3.25</t>
  </si>
  <si>
    <t>1461-70       4.75              3.75</t>
  </si>
  <si>
    <t>1471-80       5.25              3.75</t>
  </si>
  <si>
    <t>1481-90       6                 3.75</t>
  </si>
  <si>
    <t>1491-1500     5.5               3.5</t>
  </si>
  <si>
    <t>1501-10       5.75              4</t>
  </si>
  <si>
    <t>1511-20       5.25              4</t>
  </si>
  <si>
    <r>
      <t>[1] </t>
    </r>
    <r>
      <rPr>
        <i/>
        <sz val="14"/>
        <color rgb="FF000000"/>
        <rFont val="Times New Roman"/>
        <family val="1"/>
      </rPr>
      <t>English Wayfaring Life in the XIVth Century</t>
    </r>
    <r>
      <rPr>
        <sz val="14"/>
        <color rgb="FF000000"/>
        <rFont val="Times New Roman"/>
        <family val="1"/>
      </rPr>
      <t>, J. J. Jusserand, trans Lucy Smith, Putnam's Sons, New York,1931 (Orig. 1889).</t>
    </r>
  </si>
  <si>
    <r>
      <t>[2] </t>
    </r>
    <r>
      <rPr>
        <i/>
        <sz val="14"/>
        <color rgb="FF000000"/>
        <rFont val="Times New Roman"/>
        <family val="1"/>
      </rPr>
      <t>London in the Age of Chaucer</t>
    </r>
    <r>
      <rPr>
        <sz val="14"/>
        <color rgb="FF000000"/>
        <rFont val="Times New Roman"/>
        <family val="1"/>
      </rPr>
      <t>, A. R. Myers, University of Oklahoma Press, Norman, 1972</t>
    </r>
  </si>
  <si>
    <r>
      <t>[3] </t>
    </r>
    <r>
      <rPr>
        <i/>
        <sz val="14"/>
        <color rgb="FF000000"/>
        <rFont val="Times New Roman"/>
        <family val="1"/>
      </rPr>
      <t>Standards of Living in the Later Middle Ages</t>
    </r>
    <r>
      <rPr>
        <sz val="14"/>
        <color rgb="FF000000"/>
        <rFont val="Times New Roman"/>
        <family val="1"/>
      </rPr>
      <t>, Christopher Dyer, Cambridge University Press, 1989</t>
    </r>
  </si>
  <si>
    <r>
      <t>[4] </t>
    </r>
    <r>
      <rPr>
        <i/>
        <sz val="14"/>
        <color rgb="FF000000"/>
        <rFont val="Times New Roman"/>
        <family val="1"/>
      </rPr>
      <t>English Weapons &amp; Warfare, 449-1660</t>
    </r>
    <r>
      <rPr>
        <sz val="14"/>
        <color rgb="FF000000"/>
        <rFont val="Times New Roman"/>
        <family val="1"/>
      </rPr>
      <t>, A. V. B. Norman and Don Pottinger, Barnes &amp; Noble, 1992 (orig. 1966)</t>
    </r>
  </si>
  <si>
    <r>
      <t>[5] </t>
    </r>
    <r>
      <rPr>
        <i/>
        <sz val="14"/>
        <color rgb="FF000000"/>
        <rFont val="Times New Roman"/>
        <family val="1"/>
      </rPr>
      <t>The Armourer and his Craft from the XIth to the XVIth Century</t>
    </r>
    <r>
      <rPr>
        <sz val="14"/>
        <color rgb="FF000000"/>
        <rFont val="Times New Roman"/>
        <family val="1"/>
      </rPr>
      <t>, Charles ffoulkes, Dover, 1988 (orig. 1912)</t>
    </r>
  </si>
  <si>
    <r>
      <t>[6] "The Cost of Castle Building: The Case of the Tower at Langeais," Bernard Bachrach, in </t>
    </r>
    <r>
      <rPr>
        <i/>
        <sz val="14"/>
        <color rgb="FF000000"/>
        <rFont val="Times New Roman"/>
        <family val="1"/>
      </rPr>
      <t>The Medieval Castle: Romance and Reality</t>
    </r>
    <r>
      <rPr>
        <sz val="14"/>
        <color rgb="FF000000"/>
        <rFont val="Times New Roman"/>
        <family val="1"/>
      </rPr>
      <t>, ed. Kathryn Reyerson and Faye Powe, Kendall/Hunt, Dubuque, Iowa, 1984</t>
    </r>
  </si>
  <si>
    <r>
      <t>[7] </t>
    </r>
    <r>
      <rPr>
        <i/>
        <sz val="14"/>
        <color rgb="FF000000"/>
        <rFont val="Times New Roman"/>
        <family val="1"/>
      </rPr>
      <t>The Knight in History</t>
    </r>
    <r>
      <rPr>
        <sz val="14"/>
        <color rgb="FF000000"/>
        <rFont val="Times New Roman"/>
        <family val="1"/>
      </rPr>
      <t>, Frances Gies, Harper &amp; Row, New York, 1984</t>
    </r>
  </si>
  <si>
    <r>
      <t>[8] </t>
    </r>
    <r>
      <rPr>
        <i/>
        <sz val="14"/>
        <color rgb="FF000000"/>
        <rFont val="Times New Roman"/>
        <family val="1"/>
      </rPr>
      <t>Methods and Practice of Elizabethan Swordplay</t>
    </r>
    <r>
      <rPr>
        <sz val="14"/>
        <color rgb="FF000000"/>
        <rFont val="Times New Roman"/>
        <family val="1"/>
      </rPr>
      <t>, Craig Turner and Tony Soper, Southern Illinois University Press, Carbondale, 1990</t>
    </r>
  </si>
  <si>
    <r>
      <t>[9] </t>
    </r>
    <r>
      <rPr>
        <i/>
        <sz val="14"/>
        <color rgb="FF000000"/>
        <rFont val="Times New Roman"/>
        <family val="1"/>
      </rPr>
      <t>Life in a Medieval City</t>
    </r>
    <r>
      <rPr>
        <sz val="14"/>
        <color rgb="FF000000"/>
        <rFont val="Times New Roman"/>
        <family val="1"/>
      </rPr>
      <t>, Joseph and Frances Gies, Harper &amp; Row, New York, 1969</t>
    </r>
  </si>
  <si>
    <t>http://medieval.ucdavis.edu/120D/Money.html</t>
  </si>
  <si>
    <t>Updated by Edward Gustafson</t>
  </si>
  <si>
    <t>Price in £ of the time: Minimum</t>
  </si>
  <si>
    <t>Price in £ of the time: Maximum</t>
  </si>
  <si>
    <t>yeoman, 3d</t>
  </si>
  <si>
    <t>esquire, 4d</t>
  </si>
  <si>
    <t>lord, 7d</t>
  </si>
  <si>
    <t>people on an estate ([3], p. 65)</t>
  </si>
  <si>
    <t>Rent for the three London   taverns with the exclusive  right to sell sweet wines</t>
  </si>
  <si>
    <t xml:space="preserve">  (hippocras, clarry, piments)  £200        1365-1375   [2]     195-196 </t>
  </si>
  <si>
    <t>Craftsman's house (i.e., with  shop, work area, and room  for workers) with 2-3 bays  and tile roof                 £10£L15     early 14 cen [3]    205</t>
  </si>
  <si>
    <t>Goldsmiths' Hall (in London,  with hall, kitchen, buttery,  2 chambers)                   £136        1365        [2]     114</t>
  </si>
  <si>
    <t>Wooden gatehouse (30' long),   barn, and drawbridge:</t>
  </si>
  <si>
    <t xml:space="preserve">Generally, all 7 spend 2d a night on beds; </t>
  </si>
  <si>
    <t>in London, it is 1d per head.</t>
  </si>
  <si>
    <t xml:space="preserve">The four servants staying alone sleep 2 nights for 1d.  </t>
  </si>
  <si>
    <t xml:space="preserve">fodder for horses, 10d.  </t>
  </si>
  <si>
    <t xml:space="preserve">beds, 2d; </t>
  </si>
  <si>
    <t xml:space="preserve"> fuel, 2d; </t>
  </si>
  <si>
    <t>candles, .25d;</t>
  </si>
  <si>
    <t xml:space="preserve">meat,  5.5d; </t>
  </si>
  <si>
    <t xml:space="preserve">potage, .25d; </t>
  </si>
  <si>
    <t xml:space="preserve">wine 1.25d; </t>
  </si>
  <si>
    <t xml:space="preserve">beer, 2d; </t>
  </si>
  <si>
    <t xml:space="preserve">one day, 3 men with 4 servants spent: </t>
  </si>
  <si>
    <t xml:space="preserve">Bread, 4d; </t>
  </si>
  <si>
    <t xml:space="preserve">Time value conversion done at http://www.measuringworth.com/ukcompare/ </t>
  </si>
  <si>
    <t xml:space="preserve"> $ to £ conversion done 2/9/2015 at 12:30 Central Time at 1.52 to 1</t>
  </si>
  <si>
    <t xml:space="preserve">  First-rate                    1-1.25d/gal 1320   [3]     58</t>
  </si>
  <si>
    <t>2013  Value using Consumer Price Index in $</t>
  </si>
  <si>
    <t xml:space="preserve">2013  Value using Consumer Price Index in £ </t>
  </si>
  <si>
    <t xml:space="preserve">2013  Value using Labor Value in £ </t>
  </si>
  <si>
    <t>Edward Gustafson of the Bar Stool Historian Podcast (with an MA in History from the College of William and Mary and an MBA from UNC Kenan-Flagler Business School if that matters, which it does not) has attempted to convert this useful list of Mr. Hodges' to present day dollars and pounds, using the CPI and proportional labor value.  Enjoy!</t>
  </si>
  <si>
    <t>Note: When I convert to present day, I generally take the middle year of a century for "Mid-xth century.  For example "Mid-14th century would be 1350.  For "Late Xth Century" I usually take the 75th year; "Early", the 25th year.  If there is a range of prices, I take the average</t>
  </si>
  <si>
    <t>2013  Value using Labor Value in $</t>
  </si>
  <si>
    <t>Total</t>
  </si>
  <si>
    <t>Total for stay</t>
  </si>
  <si>
    <t>Thatcher</t>
  </si>
  <si>
    <t>Mate</t>
  </si>
  <si>
    <t>Labor Value</t>
  </si>
  <si>
    <t>Year</t>
  </si>
  <si>
    <t>$Labor Value to CPI ratio</t>
  </si>
  <si>
    <t>Yearly Rent</t>
  </si>
  <si>
    <t>1 mattress: $73</t>
  </si>
  <si>
    <t>2 pillows: $73</t>
  </si>
  <si>
    <t>2 sheets $290</t>
  </si>
  <si>
    <t>1 Table: $214</t>
  </si>
  <si>
    <t>2 chairs $214</t>
  </si>
  <si>
    <t>Basin and ewer</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</si>
</sst>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_);[Red]\(&quot;$&quot;#,##0\)"/>
    <numFmt numFmtId="8" formatCode="&quot;$&quot;#,##0.00_);[Red]\(&quot;$&quot;#,##0.00\)"/>
    <numFmt numFmtId="164" formatCode="[$£-809]#,##0.00"/>
    <numFmt numFmtId="165" formatCode="[$£-809]#,##0.0000"/>
    <numFmt numFmtId="166" formatCode="&quot;$&quot;#,##0.00"/>
    <numFmt numFmtId="167" formatCode="#,##0.0000"/>
  </numFmts>
  <fonts count="10" x14ac:knownFonts="1">
    <font>
      <sz val="11"/>
      <color theme="1"/>
      <name val="Calibri"/>
      <family val="2"/>
      <scheme val="minor"/>
    </font>
    <font>
      <sz val="14"/>
      <color rgb="FF000000"/>
      <name val="Times New Roman"/>
      <family val="1"/>
    </font>
    <font>
      <sz val="10"/>
      <color rgb="FF000000"/>
      <name val="Arial Unicode MS"/>
      <family val="2"/>
    </font>
    <font>
      <i/>
      <sz val="14"/>
      <color rgb="FF000000"/>
      <name val="Times New Roman"/>
      <family val="1"/>
    </font>
    <font>
      <u/>
      <sz val="11"/>
      <color theme="10"/>
      <name val="Calibri"/>
      <family val="2"/>
      <scheme val="minor"/>
    </font>
    <font>
      <sz val="10"/>
      <color rgb="FF000000"/>
      <name val="Times New Roman"/>
      <family val="1"/>
    </font>
    <font>
      <sz val="9"/>
      <color rgb="FF000000"/>
      <name val="Times New Roman"/>
      <family val="1"/>
    </font>
    <font>
      <b/>
      <sz val="9"/>
      <color theme="1"/>
      <name val="Calibri"/>
      <family val="2"/>
      <scheme val="minor"/>
    </font>
    <font>
      <sz val="9"/>
      <color rgb="FF333300"/>
      <name val="Verdana"/>
      <family val="2"/>
    </font>
    <font>
      <b/>
      <sz val="14"/>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0" borderId="0" xfId="0" applyFont="1" applyAlignment="1">
      <alignment vertical="center" wrapText="1"/>
    </xf>
    <xf numFmtId="0" fontId="0" fillId="0" borderId="0" xfId="0" applyAlignment="1">
      <alignment vertical="center"/>
    </xf>
    <xf numFmtId="0" fontId="2" fillId="0" borderId="0" xfId="0" applyFont="1" applyAlignment="1">
      <alignment vertical="center"/>
    </xf>
    <xf numFmtId="0" fontId="1" fillId="0" borderId="0" xfId="0" applyFont="1"/>
    <xf numFmtId="0" fontId="4" fillId="0" borderId="0" xfId="1"/>
    <xf numFmtId="0" fontId="0" fillId="0" borderId="0" xfId="0" applyAlignment="1">
      <alignment wrapText="1"/>
    </xf>
    <xf numFmtId="164" fontId="0" fillId="0" borderId="0" xfId="0" applyNumberFormat="1"/>
    <xf numFmtId="165" fontId="0" fillId="0" borderId="0" xfId="0" applyNumberFormat="1"/>
    <xf numFmtId="0" fontId="5"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wrapText="1"/>
    </xf>
    <xf numFmtId="0" fontId="2" fillId="0" borderId="0" xfId="0" applyFont="1" applyAlignment="1">
      <alignment vertical="center" wrapText="1"/>
    </xf>
    <xf numFmtId="0" fontId="5" fillId="0" borderId="0" xfId="0" applyFont="1" applyAlignment="1">
      <alignment wrapText="1"/>
    </xf>
    <xf numFmtId="4" fontId="0" fillId="0" borderId="0" xfId="0" applyNumberFormat="1"/>
    <xf numFmtId="166" fontId="0" fillId="0" borderId="0" xfId="0" applyNumberFormat="1"/>
    <xf numFmtId="0" fontId="8" fillId="0" borderId="0" xfId="0" applyFont="1"/>
    <xf numFmtId="167" fontId="0" fillId="0" borderId="0" xfId="0" applyNumberFormat="1" applyAlignment="1">
      <alignment wrapText="1"/>
    </xf>
    <xf numFmtId="167" fontId="0" fillId="0" borderId="0" xfId="0" applyNumberFormat="1"/>
    <xf numFmtId="0" fontId="9" fillId="0" borderId="0" xfId="0" applyFont="1"/>
    <xf numFmtId="164" fontId="0" fillId="0" borderId="0" xfId="0" applyNumberFormat="1" applyAlignment="1">
      <alignment wrapText="1"/>
    </xf>
    <xf numFmtId="164" fontId="8" fillId="0" borderId="0" xfId="0" applyNumberFormat="1" applyFont="1"/>
    <xf numFmtId="8" fontId="0" fillId="0" borderId="0" xfId="0" applyNumberFormat="1"/>
    <xf numFmtId="6" fontId="0" fillId="0" borderId="0" xfId="0" applyNumberForma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lineChart>
        <c:grouping val="standard"/>
        <c:varyColors val="0"/>
        <c:ser>
          <c:idx val="0"/>
          <c:order val="0"/>
          <c:tx>
            <c:strRef>
              <c:f>Sheet1!$G$437</c:f>
              <c:strCache>
                <c:ptCount val="1"/>
                <c:pt idx="0">
                  <c:v>Labor Value</c:v>
                </c:pt>
              </c:strCache>
            </c:strRef>
          </c:tx>
          <c:marker>
            <c:symbol val="none"/>
          </c:marker>
          <c:cat>
            <c:strRef>
              <c:f>Sheet1!$H$437:$H$463</c:f>
              <c:strCache>
                <c:ptCount val="27"/>
                <c:pt idx="0">
                  <c:v>Year</c:v>
                </c:pt>
                <c:pt idx="1">
                  <c:v>1270</c:v>
                </c:pt>
                <c:pt idx="2">
                  <c:v>1275</c:v>
                </c:pt>
                <c:pt idx="3">
                  <c:v>1285</c:v>
                </c:pt>
                <c:pt idx="4">
                  <c:v>1295</c:v>
                </c:pt>
                <c:pt idx="5">
                  <c:v>1305</c:v>
                </c:pt>
                <c:pt idx="6">
                  <c:v>1315</c:v>
                </c:pt>
                <c:pt idx="7">
                  <c:v>1325</c:v>
                </c:pt>
                <c:pt idx="8">
                  <c:v>1335</c:v>
                </c:pt>
                <c:pt idx="9">
                  <c:v>1345</c:v>
                </c:pt>
                <c:pt idx="10">
                  <c:v>1355</c:v>
                </c:pt>
                <c:pt idx="11">
                  <c:v>1365</c:v>
                </c:pt>
                <c:pt idx="12">
                  <c:v>1375</c:v>
                </c:pt>
                <c:pt idx="13">
                  <c:v>1385</c:v>
                </c:pt>
                <c:pt idx="14">
                  <c:v>1395</c:v>
                </c:pt>
                <c:pt idx="15">
                  <c:v>1405</c:v>
                </c:pt>
                <c:pt idx="16">
                  <c:v>1415</c:v>
                </c:pt>
                <c:pt idx="17">
                  <c:v>1425</c:v>
                </c:pt>
                <c:pt idx="18">
                  <c:v>1435</c:v>
                </c:pt>
                <c:pt idx="19">
                  <c:v>1445</c:v>
                </c:pt>
                <c:pt idx="20">
                  <c:v>1455</c:v>
                </c:pt>
                <c:pt idx="21">
                  <c:v>1465</c:v>
                </c:pt>
                <c:pt idx="22">
                  <c:v>1475</c:v>
                </c:pt>
                <c:pt idx="23">
                  <c:v>1485</c:v>
                </c:pt>
                <c:pt idx="24">
                  <c:v>1495</c:v>
                </c:pt>
                <c:pt idx="25">
                  <c:v>1505</c:v>
                </c:pt>
                <c:pt idx="26">
                  <c:v>1515</c:v>
                </c:pt>
              </c:strCache>
            </c:strRef>
          </c:cat>
          <c:val>
            <c:numRef>
              <c:f>Sheet1!$G$438:$G$463</c:f>
              <c:numCache>
                <c:formatCode>"$"#,##0.00</c:formatCode>
                <c:ptCount val="26"/>
                <c:pt idx="0">
                  <c:v>181.184</c:v>
                </c:pt>
                <c:pt idx="1">
                  <c:v>230.584</c:v>
                </c:pt>
                <c:pt idx="2">
                  <c:v>195.624</c:v>
                </c:pt>
                <c:pt idx="3">
                  <c:v>219.792</c:v>
                </c:pt>
                <c:pt idx="4">
                  <c:v>216.144</c:v>
                </c:pt>
                <c:pt idx="5">
                  <c:v>271.472</c:v>
                </c:pt>
                <c:pt idx="6">
                  <c:v>248.064</c:v>
                </c:pt>
                <c:pt idx="7">
                  <c:v>244.416</c:v>
                </c:pt>
                <c:pt idx="8">
                  <c:v>259.92</c:v>
                </c:pt>
                <c:pt idx="9">
                  <c:v>182.552</c:v>
                </c:pt>
                <c:pt idx="10">
                  <c:v>155.8</c:v>
                </c:pt>
                <c:pt idx="11">
                  <c:v>176.624</c:v>
                </c:pt>
                <c:pt idx="12">
                  <c:v>169.024</c:v>
                </c:pt>
                <c:pt idx="13">
                  <c:v>184.376</c:v>
                </c:pt>
                <c:pt idx="14">
                  <c:v>181.336</c:v>
                </c:pt>
                <c:pt idx="15">
                  <c:v>182.552</c:v>
                </c:pt>
                <c:pt idx="16">
                  <c:v>171.304</c:v>
                </c:pt>
                <c:pt idx="17">
                  <c:v>166.896</c:v>
                </c:pt>
                <c:pt idx="18">
                  <c:v>190.608</c:v>
                </c:pt>
                <c:pt idx="19">
                  <c:v>206.416</c:v>
                </c:pt>
                <c:pt idx="20">
                  <c:v>169.784</c:v>
                </c:pt>
                <c:pt idx="21">
                  <c:v>193.648</c:v>
                </c:pt>
                <c:pt idx="22">
                  <c:v>219.032</c:v>
                </c:pt>
                <c:pt idx="23">
                  <c:v>205.96</c:v>
                </c:pt>
                <c:pt idx="24">
                  <c:v>236.208</c:v>
                </c:pt>
                <c:pt idx="25">
                  <c:v>214.32</c:v>
                </c:pt>
              </c:numCache>
            </c:numRef>
          </c:val>
          <c:smooth val="0"/>
        </c:ser>
        <c:dLbls>
          <c:showLegendKey val="0"/>
          <c:showVal val="0"/>
          <c:showCatName val="0"/>
          <c:showSerName val="0"/>
          <c:showPercent val="0"/>
          <c:showBubbleSize val="0"/>
        </c:dLbls>
        <c:marker val="1"/>
        <c:smooth val="0"/>
        <c:axId val="2078843848"/>
        <c:axId val="2078846680"/>
      </c:lineChart>
      <c:catAx>
        <c:axId val="2078843848"/>
        <c:scaling>
          <c:orientation val="minMax"/>
        </c:scaling>
        <c:delete val="0"/>
        <c:axPos val="b"/>
        <c:majorTickMark val="out"/>
        <c:minorTickMark val="none"/>
        <c:tickLblPos val="nextTo"/>
        <c:crossAx val="2078846680"/>
        <c:crosses val="autoZero"/>
        <c:auto val="1"/>
        <c:lblAlgn val="ctr"/>
        <c:lblOffset val="100"/>
        <c:noMultiLvlLbl val="0"/>
      </c:catAx>
      <c:valAx>
        <c:axId val="2078846680"/>
        <c:scaling>
          <c:orientation val="minMax"/>
        </c:scaling>
        <c:delete val="0"/>
        <c:axPos val="l"/>
        <c:majorGridlines/>
        <c:numFmt formatCode="&quot;$&quot;#,##0.00" sourceLinked="1"/>
        <c:majorTickMark val="out"/>
        <c:minorTickMark val="none"/>
        <c:tickLblPos val="nextTo"/>
        <c:crossAx val="2078843848"/>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1066800</xdr:colOff>
      <xdr:row>464</xdr:row>
      <xdr:rowOff>33337</xdr:rowOff>
    </xdr:from>
    <xdr:to>
      <xdr:col>4</xdr:col>
      <xdr:colOff>495300</xdr:colOff>
      <xdr:row>472</xdr:row>
      <xdr:rowOff>633412</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medieval.ucdavis.edu/120D/Money.html"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3"/>
  <sheetViews>
    <sheetView tabSelected="1" workbookViewId="0">
      <pane ySplit="9" topLeftCell="A10" activePane="bottomLeft" state="frozen"/>
      <selection pane="bottomLeft" activeCell="A370" sqref="A370"/>
    </sheetView>
  </sheetViews>
  <sheetFormatPr baseColWidth="10" defaultColWidth="8.83203125" defaultRowHeight="14" x14ac:dyDescent="0"/>
  <cols>
    <col min="1" max="1" width="59.5" customWidth="1"/>
    <col min="2" max="2" width="26.6640625" customWidth="1"/>
    <col min="3" max="3" width="27.33203125" customWidth="1"/>
    <col min="4" max="4" width="23.1640625" customWidth="1"/>
    <col min="5" max="5" width="19.33203125" customWidth="1"/>
    <col min="6" max="6" width="18.5" customWidth="1"/>
    <col min="7" max="7" width="17.5" customWidth="1"/>
    <col min="8" max="8" width="21.1640625" customWidth="1"/>
    <col min="9" max="9" width="20.1640625" customWidth="1"/>
  </cols>
  <sheetData>
    <row r="1" spans="1:9" ht="18">
      <c r="A1" s="1" t="s">
        <v>0</v>
      </c>
      <c r="B1" s="5" t="s">
        <v>407</v>
      </c>
      <c r="E1" s="19" t="s">
        <v>408</v>
      </c>
    </row>
    <row r="2" spans="1:9" ht="157">
      <c r="A2" s="10" t="s">
        <v>1</v>
      </c>
      <c r="B2" s="10" t="s">
        <v>8</v>
      </c>
      <c r="C2" s="10" t="s">
        <v>9</v>
      </c>
      <c r="D2" s="10" t="s">
        <v>10</v>
      </c>
      <c r="E2" s="11" t="s">
        <v>439</v>
      </c>
      <c r="F2" s="11" t="s">
        <v>440</v>
      </c>
    </row>
    <row r="3" spans="1:9" ht="15">
      <c r="A3" s="3" t="s">
        <v>433</v>
      </c>
      <c r="C3" t="s">
        <v>434</v>
      </c>
      <c r="I3" s="18"/>
    </row>
    <row r="4" spans="1:9" ht="15">
      <c r="A4" s="3" t="s">
        <v>2</v>
      </c>
      <c r="I4" s="15"/>
    </row>
    <row r="5" spans="1:9" ht="15">
      <c r="A5" s="3" t="s">
        <v>3</v>
      </c>
      <c r="B5">
        <f>1/20</f>
        <v>0.05</v>
      </c>
      <c r="C5" s="3" t="s">
        <v>7</v>
      </c>
      <c r="D5">
        <f>(13/20)+(4*B8)</f>
        <v>0.65416666666666667</v>
      </c>
      <c r="I5" s="15"/>
    </row>
    <row r="6" spans="1:9" ht="15">
      <c r="A6" s="3" t="s">
        <v>4</v>
      </c>
      <c r="B6">
        <f>1/4</f>
        <v>0.25</v>
      </c>
      <c r="F6" s="18"/>
      <c r="I6" s="15"/>
    </row>
    <row r="7" spans="1:9" ht="15">
      <c r="A7" s="3" t="s">
        <v>5</v>
      </c>
      <c r="B7">
        <f>(1/12)*B5</f>
        <v>4.1666666666666666E-3</v>
      </c>
      <c r="I7" s="15"/>
    </row>
    <row r="8" spans="1:9" ht="15">
      <c r="A8" s="3" t="s">
        <v>6</v>
      </c>
      <c r="B8">
        <f>0.25*B7</f>
        <v>1.0416666666666667E-3</v>
      </c>
      <c r="I8" s="15"/>
    </row>
    <row r="9" spans="1:9" ht="42">
      <c r="A9" s="3" t="s">
        <v>12</v>
      </c>
      <c r="B9" s="6" t="s">
        <v>409</v>
      </c>
      <c r="C9" s="6" t="s">
        <v>410</v>
      </c>
      <c r="D9" s="6" t="s">
        <v>437</v>
      </c>
      <c r="E9" s="6" t="s">
        <v>438</v>
      </c>
      <c r="F9" s="6" t="s">
        <v>436</v>
      </c>
      <c r="G9" s="6" t="s">
        <v>441</v>
      </c>
    </row>
    <row r="10" spans="1:9" ht="15">
      <c r="A10" s="3" t="s">
        <v>11</v>
      </c>
      <c r="B10" s="17"/>
      <c r="C10" s="6"/>
      <c r="D10" s="20"/>
      <c r="E10" s="20"/>
      <c r="F10" s="6"/>
      <c r="G10" s="6"/>
    </row>
    <row r="11" spans="1:9" ht="15">
      <c r="A11" s="3" t="s">
        <v>13</v>
      </c>
      <c r="B11" s="18">
        <f>4*B5</f>
        <v>0.2</v>
      </c>
      <c r="C11" s="8"/>
      <c r="D11" s="7">
        <v>132</v>
      </c>
      <c r="E11" s="7">
        <v>1400</v>
      </c>
      <c r="F11" s="15">
        <f>D11*1.52</f>
        <v>200.64000000000001</v>
      </c>
      <c r="G11" s="15">
        <f>E11*1.52</f>
        <v>2128</v>
      </c>
    </row>
    <row r="12" spans="1:9" ht="15">
      <c r="A12" s="3" t="s">
        <v>14</v>
      </c>
      <c r="B12" s="18">
        <f>B7*5</f>
        <v>2.0833333333333332E-2</v>
      </c>
      <c r="C12" s="8"/>
      <c r="D12" s="7">
        <v>13.2</v>
      </c>
      <c r="E12" s="7">
        <v>140</v>
      </c>
      <c r="F12" s="15">
        <f t="shared" ref="F12:F75" si="0">D12*1.52</f>
        <v>20.064</v>
      </c>
      <c r="G12" s="15">
        <f t="shared" ref="G12:G77" si="1">E12*1.52</f>
        <v>212.8</v>
      </c>
      <c r="I12" s="6"/>
    </row>
    <row r="13" spans="1:9" ht="15">
      <c r="A13" s="3" t="s">
        <v>15</v>
      </c>
      <c r="B13" s="18">
        <f>B7*9</f>
        <v>3.7499999999999999E-2</v>
      </c>
      <c r="C13" s="8"/>
      <c r="D13" s="7">
        <f>D12*2</f>
        <v>26.4</v>
      </c>
      <c r="E13" s="7">
        <f t="shared" ref="E13" si="2">E12*2</f>
        <v>280</v>
      </c>
      <c r="F13" s="15">
        <f t="shared" si="0"/>
        <v>40.128</v>
      </c>
      <c r="G13" s="15">
        <f t="shared" si="1"/>
        <v>425.6</v>
      </c>
      <c r="I13" s="6"/>
    </row>
    <row r="14" spans="1:9" ht="15">
      <c r="A14" s="3" t="s">
        <v>16</v>
      </c>
      <c r="B14" s="18">
        <f>3*B7</f>
        <v>1.2500000000000001E-2</v>
      </c>
      <c r="C14" s="8"/>
      <c r="D14" s="7">
        <v>6.66</v>
      </c>
      <c r="E14" s="7">
        <v>55</v>
      </c>
      <c r="F14" s="15">
        <f t="shared" si="0"/>
        <v>10.123200000000001</v>
      </c>
      <c r="G14" s="15">
        <f t="shared" si="1"/>
        <v>83.6</v>
      </c>
    </row>
    <row r="15" spans="1:9" ht="15">
      <c r="A15" s="3" t="s">
        <v>17</v>
      </c>
      <c r="B15" s="18">
        <f>B7*5</f>
        <v>2.0833333333333332E-2</v>
      </c>
      <c r="C15" s="8"/>
      <c r="D15" s="7">
        <f>D14*2</f>
        <v>13.32</v>
      </c>
      <c r="E15" s="7">
        <f>E14*2</f>
        <v>110</v>
      </c>
      <c r="F15" s="15">
        <f t="shared" si="0"/>
        <v>20.246400000000001</v>
      </c>
      <c r="G15" s="15">
        <f t="shared" si="1"/>
        <v>167.2</v>
      </c>
    </row>
    <row r="16" spans="1:9" ht="15">
      <c r="A16" s="3" t="s">
        <v>18</v>
      </c>
      <c r="B16" s="18">
        <f>3*B7</f>
        <v>1.2500000000000001E-2</v>
      </c>
      <c r="C16" s="8"/>
      <c r="D16" s="7">
        <f>D14</f>
        <v>6.66</v>
      </c>
      <c r="E16" s="7">
        <f t="shared" ref="E16" si="3">E14</f>
        <v>55</v>
      </c>
      <c r="F16" s="15">
        <f t="shared" si="0"/>
        <v>10.123200000000001</v>
      </c>
      <c r="G16" s="15">
        <f t="shared" si="1"/>
        <v>83.6</v>
      </c>
    </row>
    <row r="17" spans="1:7" ht="15">
      <c r="A17" s="3" t="s">
        <v>19</v>
      </c>
      <c r="B17" s="18">
        <f>13*B5+4*B7</f>
        <v>0.66666666666666674</v>
      </c>
      <c r="C17" s="8"/>
      <c r="D17" s="7">
        <v>438.3</v>
      </c>
      <c r="E17" s="7">
        <v>4112</v>
      </c>
      <c r="F17" s="15">
        <f t="shared" si="0"/>
        <v>666.21600000000001</v>
      </c>
      <c r="G17" s="15">
        <f t="shared" si="1"/>
        <v>6250.24</v>
      </c>
    </row>
    <row r="18" spans="1:7" ht="15">
      <c r="A18" s="3" t="s">
        <v>20</v>
      </c>
      <c r="B18" s="18">
        <f>60*B5</f>
        <v>3</v>
      </c>
      <c r="C18" s="8"/>
      <c r="D18" s="21">
        <v>1963</v>
      </c>
      <c r="E18" s="21">
        <v>18410</v>
      </c>
      <c r="F18" s="15">
        <f t="shared" si="0"/>
        <v>2983.76</v>
      </c>
      <c r="G18" s="15">
        <f t="shared" si="1"/>
        <v>27983.200000000001</v>
      </c>
    </row>
    <row r="19" spans="1:7" ht="15">
      <c r="A19" s="3" t="s">
        <v>21</v>
      </c>
      <c r="B19" s="18">
        <f>16*B5</f>
        <v>0.8</v>
      </c>
      <c r="C19" s="8"/>
      <c r="D19" s="7">
        <v>523.4</v>
      </c>
      <c r="E19" s="7">
        <v>4910</v>
      </c>
      <c r="F19" s="15">
        <f t="shared" si="0"/>
        <v>795.56799999999998</v>
      </c>
      <c r="G19" s="15">
        <f t="shared" si="1"/>
        <v>7463.2</v>
      </c>
    </row>
    <row r="20" spans="1:7" ht="15">
      <c r="A20" s="3" t="s">
        <v>22</v>
      </c>
      <c r="B20" s="18">
        <f>20*B5</f>
        <v>1</v>
      </c>
      <c r="C20" s="8"/>
      <c r="D20" s="7">
        <v>654.20000000000005</v>
      </c>
      <c r="E20" s="7">
        <v>6138</v>
      </c>
      <c r="F20" s="15">
        <f t="shared" si="0"/>
        <v>994.38400000000013</v>
      </c>
      <c r="G20" s="15">
        <f t="shared" si="1"/>
        <v>9329.76</v>
      </c>
    </row>
    <row r="21" spans="1:7" ht="15">
      <c r="A21" s="3" t="s">
        <v>23</v>
      </c>
      <c r="B21" s="18">
        <f>30*B5</f>
        <v>1.5</v>
      </c>
      <c r="C21" s="8"/>
      <c r="D21" s="7">
        <f>D20*1.5</f>
        <v>981.30000000000007</v>
      </c>
      <c r="E21" s="7">
        <f>E20*1.5</f>
        <v>9207</v>
      </c>
      <c r="F21" s="15">
        <f t="shared" si="0"/>
        <v>1491.576</v>
      </c>
      <c r="G21" s="15">
        <f t="shared" si="1"/>
        <v>13994.64</v>
      </c>
    </row>
    <row r="22" spans="1:7" ht="15">
      <c r="A22" s="3" t="s">
        <v>24</v>
      </c>
      <c r="B22" s="18">
        <f>8*B7</f>
        <v>3.3333333333333333E-2</v>
      </c>
      <c r="C22" s="8">
        <f>2*B5+8*B7</f>
        <v>0.13333333333333333</v>
      </c>
      <c r="D22" s="7">
        <v>52.34</v>
      </c>
      <c r="E22" s="7">
        <v>491</v>
      </c>
      <c r="F22" s="15">
        <f t="shared" si="0"/>
        <v>79.55680000000001</v>
      </c>
      <c r="G22" s="15">
        <f t="shared" si="1"/>
        <v>746.32</v>
      </c>
    </row>
    <row r="23" spans="1:7" ht="15">
      <c r="A23" s="3" t="s">
        <v>25</v>
      </c>
      <c r="B23" s="18">
        <f>8*B7</f>
        <v>3.3333333333333333E-2</v>
      </c>
      <c r="C23" s="8"/>
      <c r="D23" s="7">
        <v>52.34</v>
      </c>
      <c r="E23" s="7">
        <v>491</v>
      </c>
      <c r="F23" s="15">
        <f t="shared" si="0"/>
        <v>79.55680000000001</v>
      </c>
      <c r="G23" s="15">
        <f t="shared" si="1"/>
        <v>746.32</v>
      </c>
    </row>
    <row r="24" spans="1:7" ht="15">
      <c r="A24" s="3" t="s">
        <v>26</v>
      </c>
      <c r="B24" s="18">
        <f>13+16*B5+11*B7</f>
        <v>13.845833333333333</v>
      </c>
      <c r="C24" s="8"/>
      <c r="D24" s="7">
        <v>9061</v>
      </c>
      <c r="E24" s="7">
        <v>85010</v>
      </c>
      <c r="F24" s="15">
        <f t="shared" si="0"/>
        <v>13772.72</v>
      </c>
      <c r="G24" s="15">
        <f t="shared" si="1"/>
        <v>129215.2</v>
      </c>
    </row>
    <row r="25" spans="1:7" ht="15">
      <c r="A25" s="3" t="s">
        <v>27</v>
      </c>
      <c r="B25" s="18">
        <f>10*B7</f>
        <v>4.1666666666666664E-2</v>
      </c>
      <c r="C25" s="8"/>
      <c r="D25" s="7">
        <v>28.32</v>
      </c>
      <c r="E25" s="7">
        <v>225.9</v>
      </c>
      <c r="F25" s="15">
        <f t="shared" si="0"/>
        <v>43.046399999999998</v>
      </c>
      <c r="G25" s="15">
        <f t="shared" si="1"/>
        <v>343.36799999999999</v>
      </c>
    </row>
    <row r="26" spans="1:7">
      <c r="A26" s="2"/>
      <c r="B26" s="18"/>
      <c r="C26" s="8"/>
      <c r="D26" s="7"/>
      <c r="E26" s="7"/>
      <c r="F26" s="15"/>
      <c r="G26" s="15"/>
    </row>
    <row r="27" spans="1:7" ht="15">
      <c r="A27" s="3" t="s">
        <v>28</v>
      </c>
      <c r="B27" s="18"/>
      <c r="C27" s="8"/>
      <c r="D27" s="7"/>
      <c r="E27" s="7"/>
      <c r="F27" s="15"/>
      <c r="G27" s="15"/>
    </row>
    <row r="28" spans="1:7" ht="15">
      <c r="A28" s="3" t="s">
        <v>12</v>
      </c>
      <c r="B28" s="18"/>
      <c r="C28" s="8"/>
      <c r="D28" s="7"/>
      <c r="E28" s="7"/>
      <c r="F28" s="15"/>
      <c r="G28" s="15"/>
    </row>
    <row r="29" spans="1:7" ht="15">
      <c r="A29" s="3" t="s">
        <v>29</v>
      </c>
      <c r="B29" s="18">
        <f>50*B5</f>
        <v>2.5</v>
      </c>
      <c r="C29" s="8"/>
      <c r="D29" s="7"/>
      <c r="E29" s="7"/>
      <c r="F29" s="15"/>
      <c r="G29" s="15"/>
    </row>
    <row r="30" spans="1:7" ht="15">
      <c r="A30" s="3" t="s">
        <v>30</v>
      </c>
      <c r="B30" s="18">
        <f>80</f>
        <v>80</v>
      </c>
      <c r="C30" s="8"/>
      <c r="D30" s="21">
        <v>66790</v>
      </c>
      <c r="E30" s="21">
        <v>1192000</v>
      </c>
      <c r="F30" s="15">
        <f t="shared" si="0"/>
        <v>101520.8</v>
      </c>
      <c r="G30" s="15">
        <f t="shared" ref="G30" si="4">E30*1.52</f>
        <v>1811840</v>
      </c>
    </row>
    <row r="31" spans="1:7" ht="15">
      <c r="A31" s="3" t="s">
        <v>31</v>
      </c>
      <c r="B31" s="18">
        <f>10</f>
        <v>10</v>
      </c>
      <c r="C31" s="8"/>
      <c r="D31" s="21">
        <v>6356</v>
      </c>
      <c r="E31" s="21">
        <v>65960</v>
      </c>
      <c r="F31" s="15">
        <f t="shared" si="0"/>
        <v>9661.1200000000008</v>
      </c>
      <c r="G31" s="15">
        <f t="shared" si="1"/>
        <v>100259.2</v>
      </c>
    </row>
    <row r="32" spans="1:7" ht="15">
      <c r="A32" s="3" t="s">
        <v>32</v>
      </c>
      <c r="B32" s="18">
        <v>10</v>
      </c>
      <c r="C32" s="8"/>
      <c r="D32" s="21">
        <v>8349</v>
      </c>
      <c r="E32" s="21">
        <v>149000</v>
      </c>
      <c r="F32" s="15">
        <f t="shared" si="0"/>
        <v>12690.48</v>
      </c>
      <c r="G32" s="15">
        <f t="shared" si="1"/>
        <v>226480</v>
      </c>
    </row>
    <row r="33" spans="1:7" ht="15">
      <c r="A33" s="3" t="s">
        <v>33</v>
      </c>
      <c r="B33" s="18">
        <f>15*B5</f>
        <v>0.75</v>
      </c>
      <c r="C33" s="8"/>
      <c r="D33" s="7">
        <v>626.1</v>
      </c>
      <c r="E33" s="21">
        <v>11180</v>
      </c>
      <c r="F33" s="15">
        <f t="shared" si="0"/>
        <v>951.67200000000003</v>
      </c>
      <c r="G33" s="15">
        <f t="shared" si="1"/>
        <v>16993.599999999999</v>
      </c>
    </row>
    <row r="34" spans="1:7" ht="15">
      <c r="A34" s="3" t="s">
        <v>34</v>
      </c>
      <c r="B34" s="18"/>
      <c r="C34" s="8"/>
      <c r="D34" s="7"/>
      <c r="E34" s="7"/>
      <c r="F34" s="15"/>
      <c r="G34" s="15"/>
    </row>
    <row r="35" spans="1:7" ht="15">
      <c r="A35" s="3" t="s">
        <v>35</v>
      </c>
      <c r="B35" s="18"/>
      <c r="C35" s="8"/>
      <c r="D35" s="7"/>
      <c r="E35" s="7"/>
      <c r="F35" s="15"/>
      <c r="G35" s="15"/>
    </row>
    <row r="36" spans="1:7" ht="15">
      <c r="A36" s="3" t="s">
        <v>36</v>
      </c>
      <c r="B36" s="18"/>
      <c r="C36" s="8"/>
      <c r="D36" s="7"/>
      <c r="E36" s="7"/>
      <c r="F36" s="15"/>
      <c r="G36" s="15"/>
    </row>
    <row r="37" spans="1:7">
      <c r="A37" s="2"/>
      <c r="B37" s="18"/>
      <c r="C37" s="8"/>
      <c r="D37" s="7"/>
      <c r="E37" s="7"/>
      <c r="F37" s="15"/>
      <c r="G37" s="15"/>
    </row>
    <row r="38" spans="1:7" ht="15">
      <c r="A38" s="3" t="s">
        <v>37</v>
      </c>
      <c r="B38" s="18"/>
      <c r="C38" s="8"/>
      <c r="D38" s="7"/>
      <c r="E38" s="7"/>
      <c r="F38" s="15"/>
      <c r="G38" s="15"/>
    </row>
    <row r="39" spans="1:7" ht="15">
      <c r="A39" s="3" t="s">
        <v>12</v>
      </c>
      <c r="B39" s="18"/>
      <c r="C39" s="8"/>
      <c r="D39" s="7"/>
      <c r="E39" s="7"/>
      <c r="F39" s="15"/>
      <c r="G39" s="15"/>
    </row>
    <row r="40" spans="1:7" ht="15">
      <c r="A40" s="3" t="s">
        <v>38</v>
      </c>
      <c r="B40" s="18"/>
      <c r="C40" s="8"/>
      <c r="D40" s="7"/>
      <c r="E40" s="7"/>
      <c r="F40" s="15"/>
      <c r="G40" s="15"/>
    </row>
    <row r="41" spans="1:7" ht="15">
      <c r="A41" s="3" t="s">
        <v>39</v>
      </c>
      <c r="B41" s="18">
        <f>4*B7</f>
        <v>1.6666666666666666E-2</v>
      </c>
      <c r="C41" s="8"/>
      <c r="D41" s="21">
        <v>12.57</v>
      </c>
      <c r="E41" s="21">
        <v>256.3</v>
      </c>
      <c r="F41" s="15">
        <f t="shared" si="0"/>
        <v>19.106400000000001</v>
      </c>
      <c r="G41" s="15">
        <f t="shared" si="1"/>
        <v>389.57600000000002</v>
      </c>
    </row>
    <row r="42" spans="1:7" ht="15">
      <c r="A42" s="3" t="s">
        <v>40</v>
      </c>
      <c r="B42" s="18">
        <f>8*B7</f>
        <v>3.3333333333333333E-2</v>
      </c>
      <c r="C42" s="8"/>
      <c r="D42" s="7">
        <f>D41*1.5</f>
        <v>18.855</v>
      </c>
      <c r="E42" s="7">
        <f>E41*1.5</f>
        <v>384.45000000000005</v>
      </c>
      <c r="F42" s="15">
        <f t="shared" si="0"/>
        <v>28.659600000000001</v>
      </c>
      <c r="G42" s="15">
        <f t="shared" si="1"/>
        <v>584.36400000000003</v>
      </c>
    </row>
    <row r="43" spans="1:7" ht="15">
      <c r="A43" s="3" t="s">
        <v>38</v>
      </c>
      <c r="B43" s="18"/>
      <c r="C43" s="8"/>
      <c r="D43" s="7"/>
      <c r="E43" s="7"/>
      <c r="F43" s="15"/>
      <c r="G43" s="15"/>
    </row>
    <row r="44" spans="1:7" ht="15">
      <c r="A44" s="3" t="s">
        <v>41</v>
      </c>
      <c r="B44" s="18">
        <f>3.5*B7</f>
        <v>1.4583333333333334E-2</v>
      </c>
      <c r="C44" s="8"/>
      <c r="D44" s="21">
        <v>6.99</v>
      </c>
      <c r="E44" s="21">
        <v>151.69999999999999</v>
      </c>
      <c r="F44" s="15">
        <f t="shared" si="0"/>
        <v>10.6248</v>
      </c>
      <c r="G44" s="15">
        <f t="shared" si="1"/>
        <v>230.58399999999997</v>
      </c>
    </row>
    <row r="45" spans="1:7" ht="15">
      <c r="A45" s="3" t="s">
        <v>42</v>
      </c>
      <c r="B45" s="18">
        <f>9*B7</f>
        <v>3.7499999999999999E-2</v>
      </c>
      <c r="C45" s="8"/>
      <c r="D45" s="7">
        <f>D44*4</f>
        <v>27.96</v>
      </c>
      <c r="E45" s="7">
        <f>E44*4</f>
        <v>606.79999999999995</v>
      </c>
      <c r="F45" s="15">
        <f t="shared" si="0"/>
        <v>42.499200000000002</v>
      </c>
      <c r="G45" s="15">
        <f t="shared" si="1"/>
        <v>922.3359999999999</v>
      </c>
    </row>
    <row r="46" spans="1:7" ht="15">
      <c r="A46" s="3" t="s">
        <v>43</v>
      </c>
      <c r="B46" s="18"/>
      <c r="C46" s="8"/>
      <c r="D46" s="7"/>
      <c r="E46" s="7"/>
      <c r="F46" s="15"/>
      <c r="G46" s="15"/>
    </row>
    <row r="47" spans="1:7" ht="15">
      <c r="A47" s="3" t="s">
        <v>44</v>
      </c>
      <c r="B47" s="18">
        <f>1.5*B7</f>
        <v>6.2500000000000003E-3</v>
      </c>
      <c r="C47" s="8"/>
      <c r="D47" s="7">
        <v>4.2</v>
      </c>
      <c r="E47" s="7">
        <v>43.14</v>
      </c>
      <c r="F47" s="15">
        <f t="shared" si="0"/>
        <v>6.3840000000000003</v>
      </c>
      <c r="G47" s="15">
        <f t="shared" si="1"/>
        <v>65.572800000000001</v>
      </c>
    </row>
    <row r="48" spans="1:7" ht="15">
      <c r="A48" s="3" t="s">
        <v>45</v>
      </c>
      <c r="B48" s="18">
        <f>1*B7</f>
        <v>4.1666666666666666E-3</v>
      </c>
      <c r="C48" s="8"/>
      <c r="D48" s="7">
        <v>2.8</v>
      </c>
      <c r="E48" s="7">
        <v>28.76</v>
      </c>
      <c r="F48" s="15">
        <f t="shared" si="0"/>
        <v>4.2559999999999993</v>
      </c>
      <c r="G48" s="15">
        <f t="shared" si="1"/>
        <v>43.715200000000003</v>
      </c>
    </row>
    <row r="49" spans="1:7" ht="15">
      <c r="A49" s="3" t="s">
        <v>46</v>
      </c>
      <c r="B49" s="18">
        <f>0.75*B7</f>
        <v>3.1250000000000002E-3</v>
      </c>
      <c r="C49" s="8"/>
      <c r="D49" s="7">
        <f>D47/2</f>
        <v>2.1</v>
      </c>
      <c r="E49" s="7">
        <f>E47/2</f>
        <v>21.57</v>
      </c>
      <c r="F49" s="15">
        <f t="shared" si="0"/>
        <v>3.1920000000000002</v>
      </c>
      <c r="G49" s="15">
        <f t="shared" si="1"/>
        <v>32.7864</v>
      </c>
    </row>
    <row r="50" spans="1:7" ht="15">
      <c r="A50" s="3" t="s">
        <v>47</v>
      </c>
      <c r="B50" s="18"/>
      <c r="C50" s="8"/>
      <c r="D50" s="7"/>
      <c r="E50" s="7"/>
      <c r="F50" s="15"/>
      <c r="G50" s="15"/>
    </row>
    <row r="51" spans="1:7" ht="15">
      <c r="A51" s="3" t="s">
        <v>435</v>
      </c>
      <c r="B51" s="18">
        <f>1*B7</f>
        <v>4.1666666666666666E-3</v>
      </c>
      <c r="D51" s="7">
        <v>2.71</v>
      </c>
      <c r="E51" s="7">
        <v>48.03</v>
      </c>
      <c r="F51" s="15">
        <f t="shared" si="0"/>
        <v>4.1192000000000002</v>
      </c>
      <c r="G51" s="15">
        <f t="shared" si="1"/>
        <v>73.005600000000001</v>
      </c>
    </row>
    <row r="52" spans="1:7" ht="15">
      <c r="A52" s="3">
        <v>1420</v>
      </c>
      <c r="B52" s="8">
        <f>1.25*B7</f>
        <v>5.208333333333333E-3</v>
      </c>
      <c r="C52" s="8"/>
      <c r="D52" s="7">
        <v>3.52</v>
      </c>
      <c r="E52" s="7">
        <v>32.72</v>
      </c>
      <c r="F52" s="15">
        <f t="shared" si="0"/>
        <v>5.3504000000000005</v>
      </c>
      <c r="G52" s="15">
        <f t="shared" si="1"/>
        <v>49.734400000000001</v>
      </c>
    </row>
    <row r="53" spans="1:7" ht="15">
      <c r="A53" s="3" t="s">
        <v>48</v>
      </c>
      <c r="B53" s="18">
        <f>0.75*B7</f>
        <v>3.1250000000000002E-3</v>
      </c>
      <c r="D53" s="7">
        <v>2.0299999999999998</v>
      </c>
      <c r="E53" s="7">
        <v>36.020000000000003</v>
      </c>
      <c r="F53" s="15">
        <f t="shared" si="0"/>
        <v>3.0855999999999999</v>
      </c>
      <c r="G53" s="15">
        <f>E53*1.52</f>
        <v>54.750400000000006</v>
      </c>
    </row>
    <row r="54" spans="1:7">
      <c r="A54">
        <v>1420</v>
      </c>
      <c r="B54" s="8">
        <f>1*B7</f>
        <v>4.1666666666666666E-3</v>
      </c>
      <c r="D54" s="7">
        <v>2.81</v>
      </c>
      <c r="E54" s="7">
        <v>26.17</v>
      </c>
      <c r="F54" s="15">
        <f t="shared" si="0"/>
        <v>4.2712000000000003</v>
      </c>
      <c r="G54" s="15">
        <f>E54*1.52</f>
        <v>39.778400000000005</v>
      </c>
    </row>
    <row r="55" spans="1:7" ht="15">
      <c r="A55" s="3" t="s">
        <v>49</v>
      </c>
      <c r="B55" s="18"/>
      <c r="C55" s="8"/>
      <c r="D55" s="7"/>
      <c r="E55" s="7"/>
      <c r="F55" s="15"/>
      <c r="G55" s="15"/>
    </row>
    <row r="56" spans="1:7" ht="15">
      <c r="A56" s="3" t="s">
        <v>50</v>
      </c>
      <c r="B56" s="18">
        <f>0.75*B7</f>
        <v>3.1250000000000002E-3</v>
      </c>
      <c r="C56" s="8"/>
      <c r="D56" s="7">
        <v>2.6</v>
      </c>
      <c r="E56" s="7">
        <v>38.049999999999997</v>
      </c>
      <c r="F56" s="15">
        <f t="shared" si="0"/>
        <v>3.9520000000000004</v>
      </c>
      <c r="G56" s="15">
        <f t="shared" si="1"/>
        <v>57.835999999999999</v>
      </c>
    </row>
    <row r="57" spans="1:7" ht="15">
      <c r="A57" s="3" t="s">
        <v>51</v>
      </c>
      <c r="B57" s="18">
        <f>1.25*B7</f>
        <v>5.208333333333333E-3</v>
      </c>
      <c r="C57" s="8"/>
      <c r="D57" s="7">
        <v>4.34</v>
      </c>
      <c r="E57" s="7">
        <v>63.42</v>
      </c>
      <c r="F57" s="15">
        <f t="shared" si="0"/>
        <v>6.5968</v>
      </c>
      <c r="G57" s="15">
        <f t="shared" si="1"/>
        <v>96.398400000000009</v>
      </c>
    </row>
    <row r="58" spans="1:7" ht="15">
      <c r="A58" s="3" t="s">
        <v>52</v>
      </c>
      <c r="B58" s="18">
        <f>1*B7</f>
        <v>4.1666666666666666E-3</v>
      </c>
      <c r="C58" s="8"/>
      <c r="D58" s="7">
        <v>2.94</v>
      </c>
      <c r="E58" s="7">
        <v>23.17</v>
      </c>
      <c r="F58" s="15">
        <f t="shared" si="0"/>
        <v>4.4687999999999999</v>
      </c>
      <c r="G58" s="15">
        <f t="shared" si="1"/>
        <v>35.218400000000003</v>
      </c>
    </row>
    <row r="59" spans="1:7" ht="15">
      <c r="A59" s="3" t="s">
        <v>53</v>
      </c>
      <c r="B59" s="18">
        <f>1*B7</f>
        <v>4.1666666666666666E-3</v>
      </c>
      <c r="C59" s="8">
        <f>4*B7</f>
        <v>1.6666666666666666E-2</v>
      </c>
      <c r="D59" s="7">
        <v>2.74</v>
      </c>
      <c r="E59" s="7">
        <v>28.76</v>
      </c>
      <c r="F59" s="15">
        <f t="shared" si="0"/>
        <v>4.1648000000000005</v>
      </c>
      <c r="G59" s="15">
        <f t="shared" si="1"/>
        <v>43.715200000000003</v>
      </c>
    </row>
    <row r="60" spans="1:7" ht="15">
      <c r="A60" s="3" t="s">
        <v>54</v>
      </c>
      <c r="B60" s="18">
        <f>6*B7</f>
        <v>2.5000000000000001E-2</v>
      </c>
      <c r="C60" s="8"/>
      <c r="D60" s="7">
        <v>17.48</v>
      </c>
      <c r="E60" s="7">
        <v>179.8</v>
      </c>
      <c r="F60" s="15">
        <f t="shared" si="0"/>
        <v>26.569600000000001</v>
      </c>
      <c r="G60" s="15">
        <f t="shared" si="1"/>
        <v>273.29599999999999</v>
      </c>
    </row>
    <row r="61" spans="1:7" ht="15">
      <c r="A61" s="3" t="s">
        <v>55</v>
      </c>
      <c r="B61" s="18"/>
      <c r="C61" s="8"/>
      <c r="D61" s="7"/>
      <c r="E61" s="7"/>
      <c r="F61" s="15"/>
      <c r="G61" s="15"/>
    </row>
    <row r="62" spans="1:7" ht="15">
      <c r="A62" s="3" t="s">
        <v>56</v>
      </c>
      <c r="B62" s="18">
        <f>1*B5</f>
        <v>0.05</v>
      </c>
      <c r="C62" s="8">
        <f>3*B5</f>
        <v>0.15000000000000002</v>
      </c>
      <c r="D62" s="7">
        <f>D60*2</f>
        <v>34.96</v>
      </c>
      <c r="E62" s="7">
        <f>E60*2</f>
        <v>359.6</v>
      </c>
      <c r="F62" s="15">
        <f t="shared" si="0"/>
        <v>53.139200000000002</v>
      </c>
      <c r="G62" s="15">
        <f t="shared" si="1"/>
        <v>546.59199999999998</v>
      </c>
    </row>
    <row r="63" spans="1:7" ht="15">
      <c r="A63" s="3" t="s">
        <v>57</v>
      </c>
      <c r="B63" s="18">
        <f>4*B5</f>
        <v>0.2</v>
      </c>
      <c r="C63" s="8"/>
      <c r="D63" s="7">
        <v>167</v>
      </c>
      <c r="E63" s="7">
        <v>2980</v>
      </c>
      <c r="F63" s="15">
        <f t="shared" si="0"/>
        <v>253.84</v>
      </c>
      <c r="G63" s="15">
        <f t="shared" si="1"/>
        <v>4529.6000000000004</v>
      </c>
    </row>
    <row r="64" spans="1:7" ht="15">
      <c r="A64" s="3" t="s">
        <v>58</v>
      </c>
      <c r="B64" s="18">
        <f>6*B7</f>
        <v>2.5000000000000001E-2</v>
      </c>
      <c r="C64" s="8"/>
      <c r="D64" s="7">
        <v>1877</v>
      </c>
      <c r="E64" s="7">
        <v>330.7</v>
      </c>
      <c r="F64" s="15">
        <f t="shared" si="0"/>
        <v>2853.04</v>
      </c>
      <c r="G64" s="15">
        <f t="shared" si="1"/>
        <v>502.66399999999999</v>
      </c>
    </row>
    <row r="65" spans="1:9" ht="15">
      <c r="A65" s="3" t="s">
        <v>59</v>
      </c>
      <c r="B65" s="18">
        <f>13.5*B5</f>
        <v>0.67500000000000004</v>
      </c>
      <c r="C65" s="8"/>
      <c r="D65" s="7">
        <v>472</v>
      </c>
      <c r="E65" s="7">
        <v>4853</v>
      </c>
      <c r="F65" s="15">
        <f t="shared" si="0"/>
        <v>717.44</v>
      </c>
      <c r="G65" s="15">
        <f t="shared" si="1"/>
        <v>7376.56</v>
      </c>
    </row>
    <row r="66" spans="1:9" ht="15">
      <c r="A66" s="3" t="s">
        <v>60</v>
      </c>
      <c r="B66" s="18">
        <f>10*B5</f>
        <v>0.5</v>
      </c>
      <c r="C66" s="8"/>
      <c r="D66" s="7"/>
      <c r="E66" s="7"/>
      <c r="F66" s="15"/>
      <c r="G66" s="15"/>
    </row>
    <row r="67" spans="1:9" ht="15">
      <c r="A67" s="3" t="s">
        <v>61</v>
      </c>
      <c r="B67" s="18">
        <f>9*B5+5*B7</f>
        <v>0.47083333333333333</v>
      </c>
      <c r="C67" s="8"/>
      <c r="D67" s="21">
        <v>329.3</v>
      </c>
      <c r="E67" s="21">
        <v>3387</v>
      </c>
      <c r="F67" s="15">
        <f t="shared" si="0"/>
        <v>500.536</v>
      </c>
      <c r="G67" s="15">
        <f t="shared" si="1"/>
        <v>5148.24</v>
      </c>
    </row>
    <row r="68" spans="1:9" ht="15">
      <c r="A68" s="3" t="s">
        <v>62</v>
      </c>
      <c r="B68" s="18">
        <f>6*B5</f>
        <v>0.30000000000000004</v>
      </c>
      <c r="C68" s="8"/>
      <c r="D68" s="21">
        <v>250.5</v>
      </c>
      <c r="E68" s="21">
        <v>4339</v>
      </c>
      <c r="F68" s="15">
        <f t="shared" si="0"/>
        <v>380.76</v>
      </c>
      <c r="G68" s="15">
        <f t="shared" si="1"/>
        <v>6595.28</v>
      </c>
    </row>
    <row r="69" spans="1:9" ht="15">
      <c r="A69" s="3" t="s">
        <v>63</v>
      </c>
      <c r="B69" s="18">
        <f>13*B5+1.25*B7</f>
        <v>0.65520833333333339</v>
      </c>
      <c r="C69" s="8"/>
      <c r="D69" s="7">
        <v>458</v>
      </c>
      <c r="E69" s="7">
        <v>4710</v>
      </c>
      <c r="F69" s="15">
        <f t="shared" si="0"/>
        <v>696.16</v>
      </c>
      <c r="G69" s="15">
        <f t="shared" si="1"/>
        <v>7159.2</v>
      </c>
    </row>
    <row r="70" spans="1:9" ht="15">
      <c r="A70" s="3" t="s">
        <v>64</v>
      </c>
      <c r="B70" s="18">
        <f>1*B5+5*B7</f>
        <v>7.0833333333333331E-2</v>
      </c>
      <c r="C70" s="8"/>
      <c r="D70" s="7">
        <v>49.64</v>
      </c>
      <c r="E70" s="7">
        <v>510.5</v>
      </c>
      <c r="F70" s="15">
        <f t="shared" si="0"/>
        <v>75.452799999999996</v>
      </c>
      <c r="G70" s="15">
        <f t="shared" si="1"/>
        <v>775.96</v>
      </c>
    </row>
    <row r="71" spans="1:9" ht="15">
      <c r="A71" s="3" t="s">
        <v>65</v>
      </c>
      <c r="B71" s="18"/>
      <c r="C71" s="8"/>
      <c r="D71" s="7"/>
      <c r="E71" s="7"/>
      <c r="F71" s="15"/>
      <c r="G71" s="15"/>
    </row>
    <row r="72" spans="1:9" ht="15">
      <c r="A72" s="3" t="s">
        <v>66</v>
      </c>
      <c r="B72" s="18">
        <f>9.5*B7</f>
        <v>3.9583333333333331E-2</v>
      </c>
      <c r="C72" s="8"/>
      <c r="D72" s="7">
        <v>34.69</v>
      </c>
      <c r="E72" s="7">
        <v>507.4</v>
      </c>
      <c r="F72" s="15">
        <f t="shared" si="0"/>
        <v>52.7288</v>
      </c>
      <c r="G72" s="15">
        <f t="shared" si="1"/>
        <v>771.24799999999993</v>
      </c>
    </row>
    <row r="73" spans="1:9" ht="15">
      <c r="A73" s="3" t="s">
        <v>67</v>
      </c>
      <c r="B73" s="18">
        <f>1*B5+5*B7</f>
        <v>7.0833333333333331E-2</v>
      </c>
      <c r="C73" s="8"/>
      <c r="D73" s="7">
        <v>61.57</v>
      </c>
      <c r="E73" s="7">
        <v>900.6</v>
      </c>
      <c r="F73" s="15">
        <f t="shared" si="0"/>
        <v>93.586399999999998</v>
      </c>
      <c r="G73" s="15">
        <f t="shared" si="1"/>
        <v>1368.912</v>
      </c>
      <c r="I73" s="14">
        <v>1754105.89</v>
      </c>
    </row>
    <row r="74" spans="1:9" ht="15">
      <c r="A74" s="3" t="s">
        <v>68</v>
      </c>
      <c r="B74" s="18"/>
      <c r="C74" s="8"/>
      <c r="D74" s="7"/>
      <c r="E74" s="7"/>
      <c r="F74" s="15">
        <f t="shared" si="0"/>
        <v>0</v>
      </c>
      <c r="G74" s="15">
        <f t="shared" si="1"/>
        <v>0</v>
      </c>
      <c r="I74" s="14">
        <v>993298.46</v>
      </c>
    </row>
    <row r="75" spans="1:9" ht="15">
      <c r="A75" s="3" t="s">
        <v>69</v>
      </c>
      <c r="B75" s="18">
        <f>2*B5</f>
        <v>0.1</v>
      </c>
      <c r="C75" s="8"/>
      <c r="D75" s="7">
        <v>86.52</v>
      </c>
      <c r="E75" s="7">
        <v>1268</v>
      </c>
      <c r="F75" s="15">
        <f t="shared" si="0"/>
        <v>131.5104</v>
      </c>
      <c r="G75" s="15">
        <f t="shared" si="1"/>
        <v>1927.3600000000001</v>
      </c>
      <c r="I75" s="14">
        <f>I73-I74</f>
        <v>760807.42999999993</v>
      </c>
    </row>
    <row r="76" spans="1:9" ht="15">
      <c r="A76" s="3" t="s">
        <v>70</v>
      </c>
      <c r="B76" s="18">
        <f>3*B5</f>
        <v>0.15000000000000002</v>
      </c>
      <c r="C76" s="8"/>
      <c r="D76" s="7">
        <f>D75*1.5</f>
        <v>129.78</v>
      </c>
      <c r="E76" s="7">
        <f>E75*1.5</f>
        <v>1902</v>
      </c>
      <c r="F76" s="15">
        <f t="shared" ref="F76:F139" si="5">D76*1.52</f>
        <v>197.26560000000001</v>
      </c>
      <c r="G76" s="15">
        <f t="shared" si="1"/>
        <v>2891.04</v>
      </c>
    </row>
    <row r="77" spans="1:9" ht="15">
      <c r="A77" s="3" t="s">
        <v>71</v>
      </c>
      <c r="B77" s="18">
        <f>1*$B$7</f>
        <v>4.1666666666666666E-3</v>
      </c>
      <c r="C77" s="8"/>
      <c r="D77" s="7">
        <v>3.47</v>
      </c>
      <c r="E77" s="7">
        <v>50.47</v>
      </c>
      <c r="F77" s="15">
        <f t="shared" si="5"/>
        <v>5.2744</v>
      </c>
      <c r="G77" s="15">
        <f t="shared" si="1"/>
        <v>76.714399999999998</v>
      </c>
    </row>
    <row r="78" spans="1:9" ht="15">
      <c r="A78" s="3" t="s">
        <v>72</v>
      </c>
      <c r="B78" s="18">
        <f t="shared" ref="B78:B79" si="6">1*$B$7</f>
        <v>4.1666666666666666E-3</v>
      </c>
      <c r="C78" s="8"/>
      <c r="D78" s="7">
        <v>2.8</v>
      </c>
      <c r="E78" s="7">
        <v>28.76</v>
      </c>
      <c r="F78" s="15">
        <f t="shared" si="5"/>
        <v>4.2559999999999993</v>
      </c>
      <c r="G78" s="15">
        <f t="shared" ref="G78:G140" si="7">E78*1.52</f>
        <v>43.715200000000003</v>
      </c>
    </row>
    <row r="79" spans="1:9" ht="15">
      <c r="A79" s="3" t="s">
        <v>73</v>
      </c>
      <c r="B79" s="18">
        <f t="shared" si="6"/>
        <v>4.1666666666666666E-3</v>
      </c>
      <c r="C79" s="8"/>
      <c r="D79" s="7">
        <v>2.8</v>
      </c>
      <c r="E79" s="7">
        <v>28.76</v>
      </c>
      <c r="F79" s="15">
        <f t="shared" si="5"/>
        <v>4.2559999999999993</v>
      </c>
      <c r="G79" s="15">
        <f t="shared" si="7"/>
        <v>43.715200000000003</v>
      </c>
    </row>
    <row r="80" spans="1:9" ht="15">
      <c r="A80" s="3" t="s">
        <v>74</v>
      </c>
      <c r="B80" s="18">
        <f>6*B7</f>
        <v>2.5000000000000001E-2</v>
      </c>
      <c r="C80" s="8"/>
      <c r="D80" s="7">
        <v>17.48</v>
      </c>
      <c r="E80" s="7">
        <v>179.8</v>
      </c>
      <c r="F80" s="15">
        <f t="shared" si="5"/>
        <v>26.569600000000001</v>
      </c>
      <c r="G80" s="15">
        <f t="shared" si="7"/>
        <v>273.29599999999999</v>
      </c>
      <c r="I80">
        <f>I73/I74</f>
        <v>1.7659404102972232</v>
      </c>
    </row>
    <row r="81" spans="1:9" ht="15">
      <c r="A81" s="3" t="s">
        <v>75</v>
      </c>
      <c r="B81" s="18">
        <f>7.5*B7</f>
        <v>3.125E-2</v>
      </c>
      <c r="C81" s="8"/>
      <c r="D81" s="7">
        <v>17</v>
      </c>
      <c r="E81" s="7">
        <v>200.2</v>
      </c>
      <c r="F81" s="15">
        <f t="shared" si="5"/>
        <v>25.84</v>
      </c>
      <c r="G81" s="15">
        <f t="shared" si="7"/>
        <v>304.30399999999997</v>
      </c>
      <c r="I81">
        <f>I74/I73</f>
        <v>0.56627052315524695</v>
      </c>
    </row>
    <row r="82" spans="1:9" ht="15">
      <c r="A82" s="3" t="s">
        <v>76</v>
      </c>
      <c r="B82" s="18">
        <f>3*B5+4*B7</f>
        <v>0.16666666666666669</v>
      </c>
      <c r="C82" s="8">
        <f>AVERAGE(B83:C83)</f>
        <v>3.125E-2</v>
      </c>
      <c r="D82" s="7">
        <v>116.8</v>
      </c>
      <c r="E82" s="7">
        <v>2534</v>
      </c>
      <c r="F82" s="15">
        <f t="shared" si="5"/>
        <v>177.536</v>
      </c>
      <c r="G82" s="15">
        <f t="shared" si="7"/>
        <v>3851.68</v>
      </c>
    </row>
    <row r="83" spans="1:9" ht="15">
      <c r="A83" s="3" t="s">
        <v>77</v>
      </c>
      <c r="B83" s="18">
        <f>5*B7</f>
        <v>2.0833333333333332E-2</v>
      </c>
      <c r="C83" s="8">
        <f>10*B7</f>
        <v>4.1666666666666664E-2</v>
      </c>
      <c r="D83" s="7">
        <v>21.28</v>
      </c>
      <c r="E83" s="7">
        <v>207.2</v>
      </c>
      <c r="F83" s="15">
        <f t="shared" si="5"/>
        <v>32.345600000000005</v>
      </c>
      <c r="G83" s="15">
        <f t="shared" si="7"/>
        <v>314.94399999999996</v>
      </c>
    </row>
    <row r="84" spans="1:9" ht="15">
      <c r="A84" s="3" t="s">
        <v>78</v>
      </c>
      <c r="B84" s="18">
        <f>6*B7</f>
        <v>2.5000000000000001E-2</v>
      </c>
      <c r="C84" s="8"/>
      <c r="D84" s="7">
        <v>18.399999999999999</v>
      </c>
      <c r="E84" s="7">
        <v>156.19999999999999</v>
      </c>
      <c r="F84" s="15">
        <f t="shared" si="5"/>
        <v>27.967999999999996</v>
      </c>
      <c r="G84" s="15">
        <f t="shared" si="7"/>
        <v>237.42399999999998</v>
      </c>
    </row>
    <row r="85" spans="1:9" ht="15">
      <c r="A85" s="3" t="s">
        <v>79</v>
      </c>
      <c r="B85" s="18"/>
      <c r="C85" s="8"/>
      <c r="D85" s="7"/>
      <c r="E85" s="7"/>
      <c r="F85" s="15"/>
      <c r="G85" s="15"/>
    </row>
    <row r="86" spans="1:9" ht="15">
      <c r="A86" s="3" t="s">
        <v>80</v>
      </c>
      <c r="B86" s="18">
        <f>1*B5</f>
        <v>0.05</v>
      </c>
      <c r="C86" s="8"/>
      <c r="D86" s="7">
        <v>48.36</v>
      </c>
      <c r="E86" s="7">
        <v>634.20000000000005</v>
      </c>
      <c r="F86" s="15">
        <f t="shared" si="5"/>
        <v>73.507199999999997</v>
      </c>
      <c r="G86" s="15">
        <f t="shared" si="7"/>
        <v>963.98400000000004</v>
      </c>
    </row>
    <row r="87" spans="1:9" ht="15">
      <c r="A87" s="3" t="s">
        <v>81</v>
      </c>
      <c r="B87" s="18">
        <f>2*B5+2*B7</f>
        <v>0.10833333333333334</v>
      </c>
      <c r="C87" s="8"/>
      <c r="D87" s="21">
        <v>93.66</v>
      </c>
      <c r="E87" s="21">
        <v>1370</v>
      </c>
      <c r="F87" s="15">
        <f t="shared" si="5"/>
        <v>142.36320000000001</v>
      </c>
      <c r="G87" s="15">
        <f t="shared" si="7"/>
        <v>2082.4</v>
      </c>
    </row>
    <row r="88" spans="1:9" ht="15">
      <c r="A88" s="3" t="s">
        <v>82</v>
      </c>
      <c r="B88" s="18"/>
      <c r="C88" s="8"/>
      <c r="D88" s="7"/>
      <c r="E88" s="7"/>
      <c r="F88" s="15"/>
      <c r="G88" s="15"/>
    </row>
    <row r="89" spans="1:9" ht="15">
      <c r="A89" s="3" t="s">
        <v>83</v>
      </c>
      <c r="B89" s="18">
        <v>30</v>
      </c>
      <c r="C89" s="8">
        <v>60</v>
      </c>
      <c r="D89" s="7">
        <v>31860</v>
      </c>
      <c r="E89" s="7">
        <v>247900</v>
      </c>
      <c r="F89" s="15">
        <f t="shared" si="5"/>
        <v>48427.199999999997</v>
      </c>
      <c r="G89" s="15">
        <f t="shared" si="7"/>
        <v>376808</v>
      </c>
    </row>
    <row r="90" spans="1:9" ht="15">
      <c r="A90" s="3" t="s">
        <v>84</v>
      </c>
      <c r="B90" s="18"/>
      <c r="C90" s="8">
        <v>100</v>
      </c>
      <c r="D90" s="7">
        <v>70800</v>
      </c>
      <c r="E90" s="7">
        <v>550900</v>
      </c>
      <c r="F90" s="15">
        <f t="shared" si="5"/>
        <v>107616</v>
      </c>
      <c r="G90" s="15">
        <f t="shared" si="7"/>
        <v>837368</v>
      </c>
    </row>
    <row r="91" spans="1:9">
      <c r="A91" s="2"/>
      <c r="B91" s="18"/>
      <c r="C91" s="8"/>
      <c r="D91" s="7"/>
      <c r="E91" s="7"/>
      <c r="F91" s="15"/>
      <c r="G91" s="15"/>
    </row>
    <row r="92" spans="1:9" ht="15">
      <c r="A92" s="3" t="s">
        <v>85</v>
      </c>
      <c r="B92" s="18"/>
      <c r="C92" s="8"/>
      <c r="D92" s="7"/>
      <c r="E92" s="7"/>
      <c r="F92" s="15"/>
      <c r="G92" s="15"/>
    </row>
    <row r="93" spans="1:9" ht="15">
      <c r="A93" s="3" t="s">
        <v>414</v>
      </c>
      <c r="B93" s="18"/>
      <c r="C93" s="8"/>
      <c r="D93" s="7"/>
      <c r="E93" s="7"/>
      <c r="F93" s="15"/>
      <c r="G93" s="15"/>
    </row>
    <row r="94" spans="1:9" ht="15">
      <c r="A94" s="3"/>
      <c r="B94" s="18"/>
      <c r="C94" s="8"/>
      <c r="D94" s="7"/>
      <c r="E94" s="7"/>
      <c r="F94" s="15"/>
      <c r="G94" s="15"/>
    </row>
    <row r="95" spans="1:9" ht="15">
      <c r="A95" s="3" t="s">
        <v>413</v>
      </c>
      <c r="B95" s="18">
        <f>7*B7</f>
        <v>2.9166666666666667E-2</v>
      </c>
      <c r="C95" s="8"/>
      <c r="D95" s="7">
        <v>18.97</v>
      </c>
      <c r="E95" s="7">
        <v>197.1</v>
      </c>
      <c r="F95" s="15">
        <f t="shared" si="5"/>
        <v>28.834399999999999</v>
      </c>
      <c r="G95" s="15">
        <f>E95*1.52</f>
        <v>299.59199999999998</v>
      </c>
    </row>
    <row r="96" spans="1:9" ht="15">
      <c r="A96" s="3" t="s">
        <v>412</v>
      </c>
      <c r="B96" s="18">
        <f>4*B7</f>
        <v>1.6666666666666666E-2</v>
      </c>
      <c r="C96" s="8"/>
      <c r="D96" s="21">
        <v>11.12</v>
      </c>
      <c r="E96" s="7">
        <v>115.5</v>
      </c>
      <c r="F96" s="15">
        <f t="shared" si="5"/>
        <v>16.9024</v>
      </c>
      <c r="G96" s="15">
        <f>E96*1.52</f>
        <v>175.56</v>
      </c>
    </row>
    <row r="97" spans="1:7" ht="15">
      <c r="A97" s="3" t="s">
        <v>411</v>
      </c>
      <c r="B97" s="18">
        <f>3*B7</f>
        <v>1.2500000000000001E-2</v>
      </c>
      <c r="C97" s="8"/>
      <c r="D97" s="7">
        <v>8.51</v>
      </c>
      <c r="E97" s="7">
        <v>88.34</v>
      </c>
      <c r="F97" s="15">
        <f t="shared" si="5"/>
        <v>12.9352</v>
      </c>
      <c r="G97" s="15">
        <f t="shared" si="7"/>
        <v>134.27680000000001</v>
      </c>
    </row>
    <row r="98" spans="1:7">
      <c r="A98" s="2" t="s">
        <v>86</v>
      </c>
      <c r="B98" s="18">
        <f>B7</f>
        <v>4.1666666666666666E-3</v>
      </c>
      <c r="C98" s="8"/>
      <c r="D98" s="7">
        <f>D96/4</f>
        <v>2.78</v>
      </c>
      <c r="E98" s="7">
        <f>E96/4</f>
        <v>28.875</v>
      </c>
      <c r="F98" s="15">
        <f t="shared" si="5"/>
        <v>4.2256</v>
      </c>
      <c r="G98" s="15">
        <f t="shared" si="7"/>
        <v>43.89</v>
      </c>
    </row>
    <row r="99" spans="1:7" ht="15">
      <c r="A99" s="3" t="s">
        <v>87</v>
      </c>
      <c r="B99" s="18"/>
      <c r="C99" s="8"/>
      <c r="D99" s="7"/>
      <c r="E99" s="7"/>
      <c r="F99" s="15"/>
      <c r="G99" s="15"/>
    </row>
    <row r="100" spans="1:7">
      <c r="A100" s="2"/>
      <c r="B100" s="18"/>
      <c r="C100" s="8"/>
      <c r="D100" s="7"/>
      <c r="E100" s="7"/>
      <c r="F100" s="15"/>
      <c r="G100" s="15"/>
    </row>
    <row r="101" spans="1:7" ht="15">
      <c r="A101" s="3" t="s">
        <v>12</v>
      </c>
      <c r="B101" s="18"/>
      <c r="C101" s="8"/>
      <c r="D101" s="7"/>
      <c r="E101" s="7"/>
      <c r="F101" s="15"/>
      <c r="G101" s="15"/>
    </row>
    <row r="102" spans="1:7" ht="15">
      <c r="A102" s="3" t="s">
        <v>88</v>
      </c>
      <c r="B102" s="18">
        <v>2</v>
      </c>
      <c r="C102" s="8"/>
      <c r="D102" s="7">
        <v>1554</v>
      </c>
      <c r="E102" s="7">
        <v>13780</v>
      </c>
      <c r="F102" s="15">
        <f t="shared" si="5"/>
        <v>2362.08</v>
      </c>
      <c r="G102" s="15">
        <f t="shared" si="7"/>
        <v>20945.599999999999</v>
      </c>
    </row>
    <row r="103" spans="1:7" ht="15">
      <c r="A103" s="3" t="s">
        <v>89</v>
      </c>
      <c r="B103" s="18"/>
      <c r="C103" s="8"/>
      <c r="D103" s="7"/>
      <c r="E103" s="7"/>
      <c r="F103" s="15"/>
      <c r="G103" s="15"/>
    </row>
    <row r="104" spans="1:7" ht="15">
      <c r="A104" s="3" t="s">
        <v>90</v>
      </c>
      <c r="B104" s="18"/>
      <c r="C104" s="8"/>
      <c r="D104" s="7"/>
      <c r="E104" s="7"/>
      <c r="F104" s="15"/>
      <c r="G104" s="15"/>
    </row>
    <row r="105" spans="1:7" ht="15">
      <c r="A105" s="3" t="s">
        <v>91</v>
      </c>
      <c r="B105" s="18">
        <f>2*B5</f>
        <v>0.1</v>
      </c>
      <c r="C105" s="8"/>
      <c r="D105" s="7">
        <v>76.099999999999994</v>
      </c>
      <c r="E105" s="7">
        <v>712.8</v>
      </c>
      <c r="F105" s="15">
        <f t="shared" si="5"/>
        <v>115.672</v>
      </c>
      <c r="G105" s="15">
        <f t="shared" si="7"/>
        <v>1083.4559999999999</v>
      </c>
    </row>
    <row r="106" spans="1:7" ht="15">
      <c r="A106" s="3" t="s">
        <v>92</v>
      </c>
      <c r="B106" s="18">
        <f>13*B5+4*B7</f>
        <v>0.66666666666666674</v>
      </c>
      <c r="C106" s="8"/>
      <c r="D106" s="7">
        <v>507.6</v>
      </c>
      <c r="E106" s="7">
        <v>4754</v>
      </c>
      <c r="F106" s="15">
        <f t="shared" si="5"/>
        <v>771.55200000000002</v>
      </c>
      <c r="G106" s="15">
        <f t="shared" si="7"/>
        <v>7226.08</v>
      </c>
    </row>
    <row r="107" spans="1:7" ht="15">
      <c r="A107" s="3" t="s">
        <v>93</v>
      </c>
      <c r="B107" s="18"/>
      <c r="C107" s="8"/>
      <c r="D107" s="7"/>
      <c r="E107" s="7"/>
      <c r="F107" s="15"/>
      <c r="G107" s="15"/>
    </row>
    <row r="108" spans="1:7" ht="15">
      <c r="A108" s="3" t="s">
        <v>94</v>
      </c>
      <c r="B108" s="18">
        <f>104*B5</f>
        <v>5.2</v>
      </c>
      <c r="C108" s="8"/>
      <c r="D108" s="21">
        <v>3305</v>
      </c>
      <c r="E108" s="21">
        <v>34300</v>
      </c>
      <c r="F108" s="15">
        <f t="shared" si="5"/>
        <v>5023.6000000000004</v>
      </c>
      <c r="G108" s="15">
        <f t="shared" si="7"/>
        <v>52136</v>
      </c>
    </row>
    <row r="109" spans="1:7" ht="15">
      <c r="A109" s="3" t="s">
        <v>95</v>
      </c>
      <c r="B109" s="18">
        <f>40*B5</f>
        <v>2</v>
      </c>
      <c r="C109" s="8"/>
      <c r="D109" s="21">
        <v>1271</v>
      </c>
      <c r="E109" s="21">
        <v>13190</v>
      </c>
      <c r="F109" s="15">
        <f t="shared" si="5"/>
        <v>1931.92</v>
      </c>
      <c r="G109" s="15">
        <f t="shared" si="7"/>
        <v>20048.8</v>
      </c>
    </row>
    <row r="110" spans="1:7" ht="15">
      <c r="A110" s="3" t="s">
        <v>96</v>
      </c>
      <c r="B110" s="18">
        <f>26*B5+4*B7</f>
        <v>1.3166666666666667</v>
      </c>
      <c r="C110" s="8"/>
      <c r="D110" s="21">
        <v>837.1</v>
      </c>
      <c r="E110" s="21">
        <v>8687</v>
      </c>
      <c r="F110" s="15">
        <f t="shared" si="5"/>
        <v>1272.3920000000001</v>
      </c>
      <c r="G110" s="15">
        <f t="shared" si="7"/>
        <v>13204.24</v>
      </c>
    </row>
    <row r="111" spans="1:7" ht="15">
      <c r="A111" s="3" t="s">
        <v>97</v>
      </c>
      <c r="B111" s="18"/>
      <c r="C111" s="8"/>
      <c r="D111" s="7"/>
      <c r="E111" s="7"/>
      <c r="F111" s="15"/>
      <c r="G111" s="15"/>
    </row>
    <row r="112" spans="1:7" ht="15">
      <c r="A112" s="3" t="s">
        <v>98</v>
      </c>
      <c r="B112" s="18">
        <v>2</v>
      </c>
      <c r="C112" s="8">
        <v>3</v>
      </c>
      <c r="D112" s="7">
        <v>1371</v>
      </c>
      <c r="E112" s="7">
        <v>16150</v>
      </c>
      <c r="F112" s="15">
        <f t="shared" si="5"/>
        <v>2083.92</v>
      </c>
      <c r="G112" s="15">
        <f t="shared" si="7"/>
        <v>24548</v>
      </c>
    </row>
    <row r="113" spans="1:7" ht="15">
      <c r="A113" s="3" t="s">
        <v>99</v>
      </c>
      <c r="B113" s="18">
        <v>4</v>
      </c>
      <c r="C113" s="8">
        <v>10</v>
      </c>
      <c r="D113" s="7">
        <v>3839</v>
      </c>
      <c r="E113" s="7">
        <v>45210</v>
      </c>
      <c r="F113" s="15">
        <f t="shared" si="5"/>
        <v>5835.28</v>
      </c>
      <c r="G113" s="15">
        <f t="shared" si="7"/>
        <v>68719.199999999997</v>
      </c>
    </row>
    <row r="114" spans="1:7" ht="15">
      <c r="A114" s="3" t="s">
        <v>100</v>
      </c>
      <c r="B114" s="18">
        <f>10*B5</f>
        <v>0.5</v>
      </c>
      <c r="C114" s="8"/>
      <c r="D114" s="7">
        <v>136.80000000000001</v>
      </c>
      <c r="E114" s="7">
        <v>1534</v>
      </c>
      <c r="F114" s="15">
        <f t="shared" si="5"/>
        <v>207.93600000000001</v>
      </c>
      <c r="G114" s="15">
        <f t="shared" si="7"/>
        <v>2331.6799999999998</v>
      </c>
    </row>
    <row r="115" spans="1:7" ht="15">
      <c r="A115" s="3" t="s">
        <v>101</v>
      </c>
      <c r="B115" s="18">
        <v>5</v>
      </c>
      <c r="C115" s="8"/>
      <c r="D115" s="21">
        <v>3252</v>
      </c>
      <c r="E115" s="21">
        <v>31630</v>
      </c>
      <c r="F115" s="15">
        <f t="shared" si="5"/>
        <v>4943.04</v>
      </c>
      <c r="G115" s="15">
        <f t="shared" si="7"/>
        <v>48077.599999999999</v>
      </c>
    </row>
    <row r="116" spans="1:7" ht="15">
      <c r="A116" s="3" t="s">
        <v>102</v>
      </c>
      <c r="B116" s="18">
        <v>113</v>
      </c>
      <c r="C116" s="8"/>
      <c r="D116" s="7">
        <v>73070</v>
      </c>
      <c r="E116" s="7">
        <v>753400</v>
      </c>
      <c r="F116" s="15">
        <f t="shared" si="5"/>
        <v>111066.4</v>
      </c>
      <c r="G116" s="15">
        <f t="shared" si="7"/>
        <v>1145168</v>
      </c>
    </row>
    <row r="117" spans="1:7" ht="15">
      <c r="A117" s="3" t="s">
        <v>103</v>
      </c>
      <c r="B117" s="18">
        <f>0.5*B7</f>
        <v>2.0833333333333333E-3</v>
      </c>
      <c r="C117" s="8">
        <f>B7</f>
        <v>4.1666666666666666E-3</v>
      </c>
      <c r="D117" s="7">
        <v>2.5099999999999998</v>
      </c>
      <c r="E117" s="7">
        <v>44.7</v>
      </c>
      <c r="F117" s="15">
        <f t="shared" si="5"/>
        <v>3.8151999999999999</v>
      </c>
      <c r="G117" s="15">
        <f t="shared" si="7"/>
        <v>67.944000000000003</v>
      </c>
    </row>
    <row r="118" spans="1:7" ht="15">
      <c r="A118" s="3" t="s">
        <v>104</v>
      </c>
      <c r="B118" s="18"/>
      <c r="C118" s="8"/>
      <c r="D118" s="7"/>
      <c r="E118" s="7"/>
      <c r="F118" s="15"/>
      <c r="G118" s="15"/>
    </row>
    <row r="119" spans="1:7">
      <c r="A119" s="2"/>
      <c r="B119" s="18"/>
      <c r="C119" s="8"/>
      <c r="D119" s="7"/>
      <c r="E119" s="7"/>
      <c r="F119" s="15"/>
      <c r="G119" s="15"/>
    </row>
    <row r="120" spans="1:7" ht="15">
      <c r="A120" s="3" t="s">
        <v>105</v>
      </c>
      <c r="B120" s="18"/>
      <c r="C120" s="8"/>
      <c r="D120" s="7"/>
      <c r="E120" s="7"/>
      <c r="F120" s="15"/>
      <c r="G120" s="15"/>
    </row>
    <row r="121" spans="1:7" ht="15">
      <c r="A121" s="3" t="s">
        <v>106</v>
      </c>
      <c r="B121" s="18"/>
      <c r="C121" s="8"/>
      <c r="D121" s="7"/>
      <c r="E121" s="7"/>
      <c r="F121" s="15"/>
      <c r="G121" s="15"/>
    </row>
    <row r="122" spans="1:7" ht="15">
      <c r="A122" s="3" t="s">
        <v>107</v>
      </c>
      <c r="B122" s="18"/>
      <c r="C122" s="8"/>
      <c r="D122" s="7"/>
      <c r="E122" s="7"/>
      <c r="F122" s="15"/>
      <c r="G122" s="15"/>
    </row>
    <row r="123" spans="1:7">
      <c r="A123" s="2"/>
      <c r="B123" s="18"/>
      <c r="C123" s="8"/>
      <c r="D123" s="7"/>
      <c r="E123" s="7"/>
      <c r="F123" s="15"/>
      <c r="G123" s="15"/>
    </row>
    <row r="124" spans="1:7" ht="15">
      <c r="A124" s="3" t="s">
        <v>108</v>
      </c>
      <c r="B124" s="18"/>
      <c r="C124" s="8"/>
      <c r="D124" s="7"/>
      <c r="E124" s="7"/>
      <c r="F124" s="15"/>
      <c r="G124" s="15"/>
    </row>
    <row r="125" spans="1:7" ht="15">
      <c r="A125" s="3" t="s">
        <v>109</v>
      </c>
      <c r="B125" s="18"/>
      <c r="C125" s="8"/>
      <c r="D125" s="7"/>
      <c r="E125" s="7"/>
      <c r="F125" s="15"/>
      <c r="G125" s="15"/>
    </row>
    <row r="126" spans="1:7" ht="15">
      <c r="A126" s="3" t="s">
        <v>110</v>
      </c>
      <c r="B126" s="18"/>
      <c r="C126" s="8"/>
      <c r="D126" s="7"/>
      <c r="E126" s="7"/>
      <c r="F126" s="15"/>
      <c r="G126" s="15"/>
    </row>
    <row r="127" spans="1:7" ht="15">
      <c r="A127" s="3" t="s">
        <v>111</v>
      </c>
      <c r="B127" s="18"/>
      <c r="C127" s="8"/>
      <c r="D127" s="7"/>
      <c r="E127" s="7"/>
      <c r="F127" s="15"/>
      <c r="G127" s="15"/>
    </row>
    <row r="128" spans="1:7">
      <c r="A128" s="2"/>
      <c r="B128" s="18"/>
      <c r="C128" s="8"/>
      <c r="D128" s="7"/>
      <c r="E128" s="7"/>
      <c r="F128" s="15"/>
      <c r="G128" s="15"/>
    </row>
    <row r="129" spans="1:7" ht="15">
      <c r="A129" s="3" t="s">
        <v>112</v>
      </c>
      <c r="B129" s="18"/>
      <c r="C129" s="8"/>
      <c r="D129" s="7"/>
      <c r="E129" s="7"/>
      <c r="F129" s="15"/>
      <c r="G129" s="15"/>
    </row>
    <row r="130" spans="1:7" ht="15">
      <c r="A130" s="3" t="s">
        <v>12</v>
      </c>
      <c r="B130" s="18"/>
      <c r="C130" s="8"/>
      <c r="D130" s="7"/>
      <c r="E130" s="7"/>
      <c r="F130" s="15"/>
      <c r="G130" s="15"/>
    </row>
    <row r="131" spans="1:7" ht="15">
      <c r="A131" s="3" t="s">
        <v>113</v>
      </c>
      <c r="B131" s="18"/>
      <c r="C131" s="8"/>
      <c r="D131" s="7"/>
      <c r="E131" s="7"/>
      <c r="F131" s="15"/>
      <c r="G131" s="15"/>
    </row>
    <row r="132" spans="1:7" ht="15">
      <c r="A132" s="3" t="s">
        <v>114</v>
      </c>
      <c r="B132" s="18">
        <f>160+4*B5</f>
        <v>160.19999999999999</v>
      </c>
      <c r="C132" s="8"/>
      <c r="D132" s="21">
        <v>95330</v>
      </c>
      <c r="E132" s="21">
        <v>1095000</v>
      </c>
      <c r="F132" s="15">
        <f t="shared" si="5"/>
        <v>144901.6</v>
      </c>
      <c r="G132" s="15">
        <f t="shared" si="7"/>
        <v>1664400</v>
      </c>
    </row>
    <row r="133" spans="1:7" ht="30">
      <c r="A133" s="12" t="s">
        <v>415</v>
      </c>
      <c r="B133" s="18"/>
      <c r="C133" s="8"/>
      <c r="D133" s="7"/>
      <c r="E133" s="7"/>
      <c r="F133" s="15"/>
      <c r="G133" s="15"/>
    </row>
    <row r="134" spans="1:7" ht="15">
      <c r="A134" s="3" t="s">
        <v>416</v>
      </c>
      <c r="B134" s="18">
        <v>200</v>
      </c>
      <c r="C134" s="8"/>
      <c r="D134" s="21">
        <v>87740</v>
      </c>
      <c r="E134" s="21">
        <v>1401000</v>
      </c>
      <c r="F134" s="15">
        <f t="shared" si="5"/>
        <v>133364.79999999999</v>
      </c>
      <c r="G134" s="15">
        <f t="shared" si="7"/>
        <v>2129520</v>
      </c>
    </row>
    <row r="135" spans="1:7" ht="15">
      <c r="A135" s="3" t="s">
        <v>115</v>
      </c>
      <c r="B135" s="18">
        <f>5*B5</f>
        <v>0.25</v>
      </c>
      <c r="C135" s="8"/>
      <c r="D135" s="7">
        <v>175.8</v>
      </c>
      <c r="E135" s="7">
        <v>1798</v>
      </c>
      <c r="F135" s="15">
        <f t="shared" si="5"/>
        <v>267.21600000000001</v>
      </c>
      <c r="G135" s="15">
        <f t="shared" si="7"/>
        <v>2732.96</v>
      </c>
    </row>
    <row r="136" spans="1:7" ht="15">
      <c r="A136" s="3" t="s">
        <v>116</v>
      </c>
      <c r="B136" s="18">
        <f>20*B5</f>
        <v>1</v>
      </c>
      <c r="C136" s="8"/>
      <c r="D136" s="21">
        <v>699.2</v>
      </c>
      <c r="E136" s="21">
        <v>7190</v>
      </c>
      <c r="F136" s="15">
        <f t="shared" si="5"/>
        <v>1062.7840000000001</v>
      </c>
      <c r="G136" s="15">
        <f t="shared" si="7"/>
        <v>10928.8</v>
      </c>
    </row>
    <row r="137" spans="1:7" ht="15">
      <c r="A137" s="3" t="s">
        <v>117</v>
      </c>
      <c r="B137" s="18">
        <f>2</f>
        <v>2</v>
      </c>
      <c r="C137" s="8">
        <v>3</v>
      </c>
      <c r="D137" s="21">
        <v>1748</v>
      </c>
      <c r="E137" s="21">
        <v>17980</v>
      </c>
      <c r="F137" s="15">
        <f t="shared" si="5"/>
        <v>2656.96</v>
      </c>
      <c r="G137" s="15">
        <f t="shared" si="7"/>
        <v>27329.599999999999</v>
      </c>
    </row>
    <row r="138" spans="1:7" ht="15">
      <c r="A138" s="3" t="s">
        <v>118</v>
      </c>
      <c r="B138" s="18">
        <v>2</v>
      </c>
      <c r="C138" s="8"/>
      <c r="D138" s="21">
        <v>1229</v>
      </c>
      <c r="E138" s="21">
        <v>25110</v>
      </c>
      <c r="F138" s="15">
        <f t="shared" si="5"/>
        <v>1868.08</v>
      </c>
      <c r="G138" s="15">
        <f t="shared" si="7"/>
        <v>38167.199999999997</v>
      </c>
    </row>
    <row r="139" spans="1:7" ht="15">
      <c r="A139" s="3" t="s">
        <v>119</v>
      </c>
      <c r="B139" s="18"/>
      <c r="C139" s="8">
        <v>5</v>
      </c>
      <c r="D139" s="21">
        <v>3073</v>
      </c>
      <c r="E139" s="21">
        <v>62780</v>
      </c>
      <c r="F139" s="15">
        <f t="shared" si="5"/>
        <v>4670.96</v>
      </c>
      <c r="G139" s="15">
        <f t="shared" si="7"/>
        <v>95425.600000000006</v>
      </c>
    </row>
    <row r="140" spans="1:7" ht="30">
      <c r="A140" s="12" t="s">
        <v>417</v>
      </c>
      <c r="B140" s="18">
        <v>10</v>
      </c>
      <c r="C140" s="8">
        <v>15</v>
      </c>
      <c r="D140" s="21">
        <v>7683</v>
      </c>
      <c r="E140" s="21">
        <v>156900</v>
      </c>
      <c r="F140" s="15">
        <f t="shared" ref="F140:F199" si="8">D140*1.52</f>
        <v>11678.16</v>
      </c>
      <c r="G140" s="15">
        <f t="shared" si="7"/>
        <v>238488</v>
      </c>
    </row>
    <row r="141" spans="1:7" ht="15">
      <c r="A141" s="3" t="s">
        <v>120</v>
      </c>
      <c r="B141" s="18"/>
      <c r="C141" s="8"/>
      <c r="D141" s="7"/>
      <c r="E141" s="7"/>
      <c r="F141" s="15"/>
      <c r="G141" s="15"/>
    </row>
    <row r="142" spans="1:7" ht="15">
      <c r="A142" s="3" t="s">
        <v>121</v>
      </c>
      <c r="B142" s="18">
        <v>12</v>
      </c>
      <c r="C142" s="8"/>
      <c r="D142" s="21">
        <v>11470</v>
      </c>
      <c r="E142" s="21">
        <v>174600</v>
      </c>
      <c r="F142" s="15">
        <f t="shared" si="8"/>
        <v>17434.400000000001</v>
      </c>
      <c r="G142" s="15">
        <f t="shared" ref="G142:G199" si="9">E142*1.52</f>
        <v>265392</v>
      </c>
    </row>
    <row r="143" spans="1:7" ht="15">
      <c r="A143" s="3" t="s">
        <v>122</v>
      </c>
      <c r="B143" s="18">
        <v>33</v>
      </c>
      <c r="C143" s="8">
        <v>66</v>
      </c>
      <c r="D143" s="21">
        <v>30430</v>
      </c>
      <c r="E143" s="21">
        <v>621500</v>
      </c>
      <c r="F143" s="15">
        <f t="shared" si="8"/>
        <v>46253.599999999999</v>
      </c>
      <c r="G143" s="15">
        <f t="shared" si="9"/>
        <v>944680</v>
      </c>
    </row>
    <row r="144" spans="1:7" ht="15">
      <c r="A144" s="3" t="s">
        <v>123</v>
      </c>
      <c r="B144" s="18">
        <v>90</v>
      </c>
      <c r="C144" s="8"/>
      <c r="D144" s="21">
        <v>55320</v>
      </c>
      <c r="E144" s="21">
        <v>1130000</v>
      </c>
      <c r="F144" s="15">
        <f t="shared" si="8"/>
        <v>84086.399999999994</v>
      </c>
      <c r="G144" s="15">
        <f t="shared" si="9"/>
        <v>1717600</v>
      </c>
    </row>
    <row r="145" spans="1:7" ht="30">
      <c r="A145" s="12" t="s">
        <v>418</v>
      </c>
      <c r="B145" s="18">
        <v>136</v>
      </c>
      <c r="C145" s="8"/>
      <c r="D145" s="21">
        <v>80930</v>
      </c>
      <c r="E145" s="21">
        <v>929300</v>
      </c>
      <c r="F145" s="15">
        <f t="shared" si="8"/>
        <v>123013.6</v>
      </c>
      <c r="G145" s="15">
        <f t="shared" si="9"/>
        <v>1412536</v>
      </c>
    </row>
    <row r="146" spans="1:7" ht="15">
      <c r="A146" s="3" t="s">
        <v>124</v>
      </c>
      <c r="B146" s="18">
        <v>83</v>
      </c>
      <c r="C146" s="8"/>
      <c r="D146" s="21">
        <v>48870</v>
      </c>
      <c r="E146" s="21">
        <v>1116000</v>
      </c>
      <c r="F146" s="15">
        <f t="shared" si="8"/>
        <v>74282.399999999994</v>
      </c>
      <c r="G146" s="15">
        <f t="shared" si="9"/>
        <v>1696320</v>
      </c>
    </row>
    <row r="147" spans="1:7" ht="15">
      <c r="A147" s="3" t="s">
        <v>419</v>
      </c>
      <c r="B147" s="18"/>
      <c r="C147" s="8"/>
      <c r="D147" s="7"/>
      <c r="E147" s="7"/>
      <c r="F147" s="15"/>
      <c r="G147" s="15"/>
    </row>
    <row r="148" spans="1:7" ht="15">
      <c r="A148" s="3" t="s">
        <v>125</v>
      </c>
      <c r="B148" s="18">
        <f>5+6*B5+8*B7</f>
        <v>5.333333333333333</v>
      </c>
      <c r="C148" s="8"/>
      <c r="D148" s="21">
        <v>4554</v>
      </c>
      <c r="E148" s="21">
        <v>70920</v>
      </c>
      <c r="F148" s="15">
        <f t="shared" si="8"/>
        <v>6922.08</v>
      </c>
      <c r="G148" s="15">
        <f t="shared" si="9"/>
        <v>107798.39999999999</v>
      </c>
    </row>
    <row r="149" spans="1:7" ht="15">
      <c r="A149" s="3" t="s">
        <v>126</v>
      </c>
      <c r="B149" s="18"/>
      <c r="C149" s="8"/>
      <c r="D149" s="7"/>
      <c r="E149" s="7"/>
      <c r="F149" s="15"/>
      <c r="G149" s="15"/>
    </row>
    <row r="150" spans="1:7" ht="15">
      <c r="A150" s="3" t="s">
        <v>127</v>
      </c>
      <c r="B150" s="18"/>
      <c r="C150" s="8"/>
      <c r="D150" s="7"/>
      <c r="E150" s="7"/>
      <c r="F150" s="15"/>
      <c r="G150" s="15"/>
    </row>
    <row r="151" spans="1:7" ht="15">
      <c r="A151" s="3" t="s">
        <v>128</v>
      </c>
      <c r="B151" s="18">
        <v>16</v>
      </c>
      <c r="C151" s="8"/>
      <c r="D151" s="21">
        <v>13660</v>
      </c>
      <c r="E151" s="21">
        <v>212800</v>
      </c>
      <c r="F151" s="15">
        <f t="shared" si="8"/>
        <v>20763.2</v>
      </c>
      <c r="G151" s="15">
        <f t="shared" si="9"/>
        <v>323456</v>
      </c>
    </row>
    <row r="152" spans="1:7" ht="15">
      <c r="A152" s="3" t="s">
        <v>129</v>
      </c>
      <c r="B152" s="18"/>
      <c r="C152" s="8"/>
      <c r="D152" s="7"/>
      <c r="E152" s="7"/>
      <c r="F152" s="15"/>
      <c r="G152" s="15"/>
    </row>
    <row r="153" spans="1:7" ht="15">
      <c r="A153" s="3" t="s">
        <v>130</v>
      </c>
      <c r="B153" s="18">
        <f>16+13*B5+4*B7</f>
        <v>16.666666666666664</v>
      </c>
      <c r="C153" s="8"/>
      <c r="D153" s="21">
        <v>11880</v>
      </c>
      <c r="E153" s="21">
        <v>227800</v>
      </c>
      <c r="F153" s="15">
        <f t="shared" si="8"/>
        <v>18057.599999999999</v>
      </c>
      <c r="G153" s="15">
        <f t="shared" si="9"/>
        <v>346256</v>
      </c>
    </row>
    <row r="154" spans="1:7" ht="15">
      <c r="A154" s="3" t="s">
        <v>131</v>
      </c>
      <c r="B154" s="18">
        <v>30</v>
      </c>
      <c r="C154" s="8"/>
      <c r="D154" s="21">
        <v>21380</v>
      </c>
      <c r="E154" s="21">
        <v>410000</v>
      </c>
      <c r="F154" s="15">
        <f t="shared" si="8"/>
        <v>32497.600000000002</v>
      </c>
      <c r="G154" s="15">
        <f t="shared" si="9"/>
        <v>623200</v>
      </c>
    </row>
    <row r="155" spans="1:7" ht="15">
      <c r="A155" s="3" t="s">
        <v>132</v>
      </c>
      <c r="B155" s="18">
        <v>333</v>
      </c>
      <c r="C155" s="8"/>
      <c r="D155" s="21">
        <v>182600</v>
      </c>
      <c r="E155" s="21">
        <v>2151000</v>
      </c>
      <c r="F155" s="15">
        <f t="shared" si="8"/>
        <v>277552</v>
      </c>
      <c r="G155" s="15">
        <f t="shared" si="9"/>
        <v>3269520</v>
      </c>
    </row>
    <row r="156" spans="1:7" ht="15">
      <c r="A156" s="3" t="s">
        <v>133</v>
      </c>
      <c r="B156" s="18">
        <v>450</v>
      </c>
      <c r="C156" s="8"/>
      <c r="D156" s="21">
        <v>273600</v>
      </c>
      <c r="E156" s="21">
        <v>2559000</v>
      </c>
      <c r="F156" s="15">
        <f t="shared" si="8"/>
        <v>415872</v>
      </c>
      <c r="G156" s="15">
        <f t="shared" si="9"/>
        <v>3889680</v>
      </c>
    </row>
    <row r="157" spans="1:7" ht="15">
      <c r="A157" s="3" t="s">
        <v>134</v>
      </c>
      <c r="B157" s="18"/>
      <c r="C157" s="8"/>
      <c r="D157" s="7"/>
      <c r="E157" s="7"/>
      <c r="F157" s="15"/>
      <c r="G157" s="15"/>
    </row>
    <row r="158" spans="1:7" ht="15">
      <c r="A158" s="3" t="s">
        <v>135</v>
      </c>
      <c r="B158" s="18">
        <v>781</v>
      </c>
      <c r="C158" s="8"/>
      <c r="D158" s="21">
        <v>439000</v>
      </c>
      <c r="E158" s="21">
        <v>5381000</v>
      </c>
      <c r="F158" s="15">
        <f t="shared" si="8"/>
        <v>667280</v>
      </c>
      <c r="G158" s="15">
        <f t="shared" si="9"/>
        <v>8179120</v>
      </c>
    </row>
    <row r="159" spans="1:7" ht="15">
      <c r="A159" s="3" t="s">
        <v>136</v>
      </c>
      <c r="B159" s="18">
        <v>113</v>
      </c>
      <c r="C159" s="8"/>
      <c r="D159" s="21">
        <v>94340</v>
      </c>
      <c r="E159" s="21">
        <v>1684000</v>
      </c>
      <c r="F159" s="15">
        <f t="shared" si="8"/>
        <v>143396.79999999999</v>
      </c>
      <c r="G159" s="15">
        <f t="shared" si="9"/>
        <v>2559680</v>
      </c>
    </row>
    <row r="160" spans="1:7" ht="15">
      <c r="A160" s="3" t="s">
        <v>137</v>
      </c>
      <c r="B160" s="18"/>
      <c r="C160" s="8"/>
      <c r="D160" s="7"/>
      <c r="E160" s="7"/>
      <c r="F160" s="15"/>
      <c r="G160" s="15"/>
    </row>
    <row r="161" spans="1:7">
      <c r="A161" s="2"/>
      <c r="B161" s="18"/>
      <c r="C161" s="8"/>
      <c r="D161" s="7"/>
      <c r="E161" s="7"/>
      <c r="F161" s="15"/>
      <c r="G161" s="15"/>
    </row>
    <row r="162" spans="1:7" ht="15">
      <c r="A162" s="3" t="s">
        <v>138</v>
      </c>
      <c r="B162" s="18"/>
      <c r="C162" s="8"/>
      <c r="D162" s="7"/>
      <c r="E162" s="7"/>
      <c r="F162" s="15"/>
      <c r="G162" s="15"/>
    </row>
    <row r="163" spans="1:7" ht="15">
      <c r="A163" s="3" t="s">
        <v>139</v>
      </c>
      <c r="B163" s="18"/>
      <c r="C163" s="8"/>
      <c r="D163" s="7"/>
      <c r="E163" s="7"/>
      <c r="F163" s="15"/>
      <c r="G163" s="15"/>
    </row>
    <row r="164" spans="1:7" ht="15">
      <c r="A164" s="3" t="s">
        <v>140</v>
      </c>
      <c r="B164" s="18"/>
      <c r="C164" s="8"/>
      <c r="D164" s="7"/>
      <c r="E164" s="7"/>
      <c r="F164" s="15"/>
      <c r="G164" s="15"/>
    </row>
    <row r="165" spans="1:7">
      <c r="A165" s="2"/>
      <c r="B165" s="18"/>
      <c r="C165" s="8"/>
      <c r="D165" s="7"/>
      <c r="E165" s="7"/>
      <c r="F165" s="15"/>
      <c r="G165" s="15"/>
    </row>
    <row r="166" spans="1:7" ht="15">
      <c r="A166" s="3" t="s">
        <v>141</v>
      </c>
      <c r="B166" s="18"/>
      <c r="C166" s="8"/>
      <c r="D166" s="7"/>
      <c r="E166" s="7"/>
      <c r="F166" s="15"/>
      <c r="G166" s="15"/>
    </row>
    <row r="167" spans="1:7" ht="15">
      <c r="A167" s="3" t="s">
        <v>12</v>
      </c>
      <c r="B167" s="18"/>
      <c r="C167" s="8"/>
      <c r="D167" s="7"/>
      <c r="E167" s="7"/>
      <c r="F167" s="15"/>
      <c r="G167" s="15"/>
    </row>
    <row r="168" spans="1:7" ht="15">
      <c r="A168" s="3" t="s">
        <v>142</v>
      </c>
      <c r="B168" s="18">
        <v>10</v>
      </c>
      <c r="C168" s="8">
        <v>50</v>
      </c>
      <c r="D168" s="21">
        <v>16450</v>
      </c>
      <c r="E168" s="21">
        <v>193700</v>
      </c>
      <c r="F168" s="15">
        <f t="shared" si="8"/>
        <v>25004</v>
      </c>
      <c r="G168" s="15">
        <f t="shared" si="9"/>
        <v>294424</v>
      </c>
    </row>
    <row r="169" spans="1:7" ht="15">
      <c r="A169" s="3" t="s">
        <v>143</v>
      </c>
      <c r="B169" s="18"/>
      <c r="C169" s="8"/>
      <c r="D169" s="7"/>
      <c r="E169" s="7"/>
      <c r="F169" s="15"/>
      <c r="G169" s="15"/>
    </row>
    <row r="170" spans="1:7" ht="15">
      <c r="A170" s="3" t="s">
        <v>144</v>
      </c>
      <c r="B170" s="18"/>
      <c r="C170" s="8"/>
      <c r="D170" s="7"/>
      <c r="E170" s="7"/>
      <c r="F170" s="15"/>
      <c r="G170" s="15"/>
    </row>
    <row r="171" spans="1:7" ht="15">
      <c r="A171" s="3" t="s">
        <v>145</v>
      </c>
      <c r="B171" s="18">
        <f>4*B7</f>
        <v>1.6666666666666666E-2</v>
      </c>
      <c r="C171" s="8"/>
      <c r="D171" s="7">
        <v>12.51</v>
      </c>
      <c r="E171" s="7">
        <v>98.47</v>
      </c>
      <c r="F171" s="15">
        <f t="shared" si="8"/>
        <v>19.0152</v>
      </c>
      <c r="G171" s="15">
        <f t="shared" si="9"/>
        <v>149.67439999999999</v>
      </c>
    </row>
    <row r="172" spans="1:7" ht="15">
      <c r="A172" s="3" t="s">
        <v>146</v>
      </c>
      <c r="B172" s="18">
        <f>6*B7</f>
        <v>2.5000000000000001E-2</v>
      </c>
      <c r="C172" s="8"/>
      <c r="D172" s="7">
        <v>18.399999999999999</v>
      </c>
      <c r="E172" s="7">
        <v>144.80000000000001</v>
      </c>
      <c r="F172" s="15">
        <f t="shared" si="8"/>
        <v>27.967999999999996</v>
      </c>
      <c r="G172" s="15">
        <f t="shared" si="9"/>
        <v>220.09600000000003</v>
      </c>
    </row>
    <row r="173" spans="1:7" ht="15">
      <c r="A173" s="3" t="s">
        <v>147</v>
      </c>
      <c r="B173" s="18">
        <f>1.5*B7</f>
        <v>6.2500000000000003E-3</v>
      </c>
      <c r="C173" s="8"/>
      <c r="D173" s="7">
        <v>4.42</v>
      </c>
      <c r="E173" s="7">
        <v>34.76</v>
      </c>
      <c r="F173" s="15">
        <f t="shared" si="8"/>
        <v>6.7183999999999999</v>
      </c>
      <c r="G173" s="15">
        <f t="shared" si="9"/>
        <v>52.8352</v>
      </c>
    </row>
    <row r="174" spans="1:7" ht="15">
      <c r="A174" s="3" t="s">
        <v>148</v>
      </c>
      <c r="B174" s="18">
        <f>10*B7</f>
        <v>4.1666666666666664E-2</v>
      </c>
      <c r="C174" s="8">
        <f>1*B5+2*B7</f>
        <v>5.8333333333333334E-2</v>
      </c>
      <c r="D174" s="7">
        <v>36.799999999999997</v>
      </c>
      <c r="E174" s="7">
        <v>289.60000000000002</v>
      </c>
      <c r="F174" s="15">
        <f t="shared" si="8"/>
        <v>55.935999999999993</v>
      </c>
      <c r="G174" s="15">
        <f t="shared" si="9"/>
        <v>440.19200000000006</v>
      </c>
    </row>
    <row r="175" spans="1:7" ht="15">
      <c r="A175" s="3" t="s">
        <v>149</v>
      </c>
      <c r="B175" s="18"/>
      <c r="C175" s="8"/>
      <c r="D175" s="7"/>
      <c r="E175" s="7"/>
      <c r="F175" s="15"/>
      <c r="G175" s="15"/>
    </row>
    <row r="176" spans="1:7" ht="15">
      <c r="A176" s="3" t="s">
        <v>150</v>
      </c>
      <c r="B176" s="18">
        <f>3*B5</f>
        <v>0.15000000000000002</v>
      </c>
      <c r="C176" s="8"/>
      <c r="D176" s="21">
        <v>131.1</v>
      </c>
      <c r="E176" s="21">
        <v>2145</v>
      </c>
      <c r="F176" s="15">
        <f t="shared" si="8"/>
        <v>199.27199999999999</v>
      </c>
      <c r="G176" s="15">
        <f t="shared" si="9"/>
        <v>3260.4</v>
      </c>
    </row>
    <row r="177" spans="1:7" ht="15">
      <c r="A177" s="3" t="s">
        <v>151</v>
      </c>
      <c r="B177" s="18">
        <f>6*B5+4*B7</f>
        <v>0.31666666666666671</v>
      </c>
      <c r="C177" s="8"/>
      <c r="D177" s="7">
        <v>190.7</v>
      </c>
      <c r="E177" s="7">
        <v>2221</v>
      </c>
      <c r="F177" s="15">
        <f t="shared" si="8"/>
        <v>289.86399999999998</v>
      </c>
      <c r="G177" s="15">
        <f t="shared" si="9"/>
        <v>3375.92</v>
      </c>
    </row>
    <row r="178" spans="1:7" ht="15">
      <c r="A178" s="3" t="s">
        <v>152</v>
      </c>
      <c r="B178" s="18">
        <f>5*B5+3*B7</f>
        <v>0.26250000000000001</v>
      </c>
      <c r="C178" s="8"/>
      <c r="D178" s="21">
        <v>158.19999999999999</v>
      </c>
      <c r="E178" s="21">
        <v>1843</v>
      </c>
      <c r="F178" s="15">
        <f t="shared" si="8"/>
        <v>240.464</v>
      </c>
      <c r="G178" s="15">
        <f t="shared" si="9"/>
        <v>2801.36</v>
      </c>
    </row>
    <row r="179" spans="1:7" ht="15">
      <c r="A179" s="3" t="s">
        <v>153</v>
      </c>
      <c r="B179" s="18"/>
      <c r="C179" s="8"/>
      <c r="D179" s="7"/>
      <c r="E179" s="7"/>
      <c r="F179" s="15"/>
      <c r="G179" s="15"/>
    </row>
    <row r="180" spans="1:7" ht="15">
      <c r="A180" s="3" t="s">
        <v>154</v>
      </c>
      <c r="B180" s="18">
        <f>8*B7</f>
        <v>3.3333333333333333E-2</v>
      </c>
      <c r="C180" s="8"/>
      <c r="D180" s="21">
        <v>23.51</v>
      </c>
      <c r="E180" s="21">
        <v>451</v>
      </c>
      <c r="F180" s="15">
        <f t="shared" si="8"/>
        <v>35.735200000000006</v>
      </c>
      <c r="G180" s="15">
        <f t="shared" si="9"/>
        <v>685.52</v>
      </c>
    </row>
    <row r="181" spans="1:7" ht="15">
      <c r="A181" s="3" t="s">
        <v>155</v>
      </c>
      <c r="B181" s="18">
        <f>6*B7</f>
        <v>2.5000000000000001E-2</v>
      </c>
      <c r="C181" s="8"/>
      <c r="D181" s="21">
        <v>17.809999999999999</v>
      </c>
      <c r="E181" s="21">
        <v>341.6</v>
      </c>
      <c r="F181" s="15">
        <f t="shared" si="8"/>
        <v>27.071199999999997</v>
      </c>
      <c r="G181" s="15">
        <f t="shared" si="9"/>
        <v>519.23200000000008</v>
      </c>
    </row>
    <row r="182" spans="1:7" ht="15">
      <c r="A182" s="3" t="s">
        <v>156</v>
      </c>
      <c r="B182" s="18">
        <f>3*B7</f>
        <v>1.2500000000000001E-2</v>
      </c>
      <c r="C182" s="8"/>
      <c r="D182" s="21">
        <v>9.26</v>
      </c>
      <c r="E182" s="21">
        <v>177.7</v>
      </c>
      <c r="F182" s="15">
        <f t="shared" si="8"/>
        <v>14.075200000000001</v>
      </c>
      <c r="G182" s="15">
        <f t="shared" si="9"/>
        <v>270.10399999999998</v>
      </c>
    </row>
    <row r="183" spans="1:7" ht="15">
      <c r="A183" s="3" t="s">
        <v>157</v>
      </c>
      <c r="B183" s="18">
        <f>6*B5+8*B7</f>
        <v>0.33333333333333337</v>
      </c>
      <c r="C183" s="8"/>
      <c r="D183" s="21">
        <v>204.7</v>
      </c>
      <c r="E183" s="21">
        <v>4181</v>
      </c>
      <c r="F183" s="15">
        <f t="shared" si="8"/>
        <v>311.14400000000001</v>
      </c>
      <c r="G183" s="15">
        <f t="shared" si="9"/>
        <v>6355.12</v>
      </c>
    </row>
    <row r="184" spans="1:7" ht="15">
      <c r="A184" s="3" t="s">
        <v>158</v>
      </c>
      <c r="B184" s="18">
        <f>3*B5</f>
        <v>0.15000000000000002</v>
      </c>
      <c r="C184" s="8"/>
      <c r="D184" s="21">
        <v>92.2</v>
      </c>
      <c r="E184" s="21">
        <v>1883</v>
      </c>
      <c r="F184" s="15">
        <f t="shared" si="8"/>
        <v>140.14400000000001</v>
      </c>
      <c r="G184" s="15">
        <f t="shared" si="9"/>
        <v>2862.16</v>
      </c>
    </row>
    <row r="185" spans="1:7" ht="15">
      <c r="A185" s="3" t="s">
        <v>159</v>
      </c>
      <c r="B185" s="18">
        <f>1*B5</f>
        <v>0.05</v>
      </c>
      <c r="C185" s="8"/>
      <c r="D185" s="7">
        <v>30.73</v>
      </c>
      <c r="E185" s="7">
        <v>627.79999999999995</v>
      </c>
      <c r="F185" s="15">
        <f t="shared" si="8"/>
        <v>46.709600000000002</v>
      </c>
      <c r="G185" s="15">
        <f t="shared" si="9"/>
        <v>954.25599999999997</v>
      </c>
    </row>
    <row r="186" spans="1:7" ht="15">
      <c r="A186" s="3" t="s">
        <v>160</v>
      </c>
      <c r="B186" s="18">
        <f>1*B5</f>
        <v>0.05</v>
      </c>
      <c r="C186" s="8">
        <f>6*B5</f>
        <v>0.30000000000000004</v>
      </c>
      <c r="D186" s="21">
        <v>122.4</v>
      </c>
      <c r="E186" s="21">
        <v>1258</v>
      </c>
      <c r="F186" s="15">
        <f t="shared" si="8"/>
        <v>186.048</v>
      </c>
      <c r="G186" s="15">
        <f t="shared" si="9"/>
        <v>1912.16</v>
      </c>
    </row>
    <row r="187" spans="1:7" ht="15">
      <c r="A187" s="3" t="s">
        <v>161</v>
      </c>
      <c r="B187" s="18">
        <f>8*B7</f>
        <v>3.3333333333333333E-2</v>
      </c>
      <c r="C187" s="8">
        <f>1*B5+3*B7</f>
        <v>6.25E-2</v>
      </c>
      <c r="D187" s="21">
        <v>20.28</v>
      </c>
      <c r="E187" s="21">
        <v>414.3</v>
      </c>
      <c r="F187" s="15">
        <f t="shared" si="8"/>
        <v>30.825600000000001</v>
      </c>
      <c r="G187" s="15">
        <f t="shared" si="9"/>
        <v>629.73599999999999</v>
      </c>
    </row>
    <row r="188" spans="1:7" ht="15">
      <c r="A188" s="3" t="s">
        <v>162</v>
      </c>
      <c r="B188" s="18"/>
      <c r="C188" s="8"/>
      <c r="D188" s="7"/>
      <c r="E188" s="7"/>
      <c r="F188" s="15"/>
      <c r="G188" s="15"/>
    </row>
    <row r="189" spans="1:7" ht="15">
      <c r="A189" s="3" t="s">
        <v>163</v>
      </c>
      <c r="B189" s="18">
        <f>5*B5</f>
        <v>0.25</v>
      </c>
      <c r="C189" s="8"/>
      <c r="D189" s="21">
        <v>163.6</v>
      </c>
      <c r="E189" s="21">
        <v>1699</v>
      </c>
      <c r="F189" s="15">
        <f t="shared" si="8"/>
        <v>248.672</v>
      </c>
      <c r="G189" s="15">
        <f t="shared" si="9"/>
        <v>2582.48</v>
      </c>
    </row>
    <row r="190" spans="1:7" ht="15">
      <c r="A190" s="3" t="s">
        <v>164</v>
      </c>
      <c r="B190" s="18">
        <f>6*B5</f>
        <v>0.30000000000000004</v>
      </c>
      <c r="C190" s="8"/>
      <c r="D190" s="7">
        <v>204.6</v>
      </c>
      <c r="E190" s="7">
        <v>1864</v>
      </c>
      <c r="F190" s="15">
        <f t="shared" si="8"/>
        <v>310.99200000000002</v>
      </c>
      <c r="G190" s="15">
        <f t="shared" si="9"/>
        <v>2833.28</v>
      </c>
    </row>
    <row r="191" spans="1:7" ht="15">
      <c r="A191" s="3" t="s">
        <v>165</v>
      </c>
      <c r="B191" s="18">
        <f>10*B5</f>
        <v>0.5</v>
      </c>
      <c r="C191" s="8">
        <f>12*B5</f>
        <v>0.60000000000000009</v>
      </c>
      <c r="D191" s="7">
        <v>389.4</v>
      </c>
      <c r="E191" s="7">
        <v>3030</v>
      </c>
      <c r="F191" s="15">
        <f t="shared" si="8"/>
        <v>591.88799999999992</v>
      </c>
      <c r="G191" s="15">
        <f t="shared" si="9"/>
        <v>4605.6000000000004</v>
      </c>
    </row>
    <row r="192" spans="1:7" ht="15">
      <c r="A192" s="3" t="s">
        <v>162</v>
      </c>
      <c r="B192" s="18"/>
      <c r="C192" s="8"/>
      <c r="D192" s="7"/>
      <c r="E192" s="7"/>
      <c r="F192" s="15"/>
      <c r="G192" s="15"/>
    </row>
    <row r="193" spans="1:7" ht="15">
      <c r="A193" s="3" t="s">
        <v>166</v>
      </c>
      <c r="B193" s="18">
        <v>2</v>
      </c>
      <c r="C193" s="8">
        <v>3</v>
      </c>
      <c r="D193" s="7">
        <v>1770</v>
      </c>
      <c r="E193" s="7">
        <v>13770</v>
      </c>
      <c r="F193" s="15">
        <f>D193*1.52</f>
        <v>2690.4</v>
      </c>
      <c r="G193" s="15">
        <f>E193*1.52</f>
        <v>20930.400000000001</v>
      </c>
    </row>
    <row r="194" spans="1:7" ht="15">
      <c r="A194" s="3" t="s">
        <v>167</v>
      </c>
      <c r="B194" s="18"/>
      <c r="C194" s="8"/>
      <c r="D194" s="7"/>
      <c r="E194" s="7"/>
      <c r="F194" s="15"/>
      <c r="G194" s="15"/>
    </row>
    <row r="195" spans="1:7" ht="15">
      <c r="A195" s="3" t="s">
        <v>168</v>
      </c>
      <c r="B195" s="18"/>
      <c r="C195" s="8"/>
      <c r="D195" s="7"/>
      <c r="E195" s="7"/>
      <c r="F195" s="15"/>
      <c r="G195" s="15"/>
    </row>
    <row r="196" spans="1:7" ht="15">
      <c r="A196" s="3" t="s">
        <v>169</v>
      </c>
      <c r="B196" s="18"/>
      <c r="C196" s="8"/>
      <c r="D196" s="7"/>
      <c r="E196" s="7"/>
      <c r="F196" s="15"/>
      <c r="G196" s="15"/>
    </row>
    <row r="197" spans="1:7" ht="15">
      <c r="A197" s="3" t="s">
        <v>170</v>
      </c>
      <c r="B197" s="18">
        <f>2*B5+11*B7</f>
        <v>0.14583333333333334</v>
      </c>
      <c r="C197" s="8"/>
      <c r="D197" s="21">
        <v>109.6</v>
      </c>
      <c r="E197" s="21">
        <v>1931</v>
      </c>
      <c r="F197" s="15">
        <f t="shared" si="8"/>
        <v>166.59199999999998</v>
      </c>
      <c r="G197" s="15">
        <f t="shared" si="9"/>
        <v>2935.12</v>
      </c>
    </row>
    <row r="198" spans="1:7" ht="15">
      <c r="A198" s="3" t="s">
        <v>171</v>
      </c>
      <c r="B198" s="18">
        <f>2*B5</f>
        <v>0.1</v>
      </c>
      <c r="C198" s="8"/>
      <c r="D198" s="21">
        <v>75.08</v>
      </c>
      <c r="E198" s="21">
        <v>1323</v>
      </c>
      <c r="F198" s="15">
        <f t="shared" si="8"/>
        <v>114.1216</v>
      </c>
      <c r="G198" s="15">
        <f t="shared" si="9"/>
        <v>2010.96</v>
      </c>
    </row>
    <row r="199" spans="1:7" ht="15">
      <c r="A199" s="3" t="s">
        <v>172</v>
      </c>
      <c r="B199" s="18">
        <f>1*B5+7*B7</f>
        <v>7.9166666666666663E-2</v>
      </c>
      <c r="C199" s="8"/>
      <c r="D199" s="21">
        <v>59.31</v>
      </c>
      <c r="E199" s="21">
        <v>1045</v>
      </c>
      <c r="F199" s="15">
        <f t="shared" si="8"/>
        <v>90.151200000000003</v>
      </c>
      <c r="G199" s="15">
        <f t="shared" si="9"/>
        <v>1588.4</v>
      </c>
    </row>
    <row r="200" spans="1:7">
      <c r="A200" s="2"/>
      <c r="B200" s="18"/>
      <c r="C200" s="8"/>
      <c r="D200" s="7"/>
      <c r="E200" s="7"/>
      <c r="F200" s="15"/>
      <c r="G200" s="15"/>
    </row>
    <row r="201" spans="1:7" ht="15">
      <c r="A201" s="3" t="s">
        <v>173</v>
      </c>
      <c r="B201" s="18"/>
      <c r="C201" s="8"/>
      <c r="D201" s="7"/>
      <c r="E201" s="7"/>
      <c r="F201" s="15"/>
      <c r="G201" s="15"/>
    </row>
    <row r="202" spans="1:7" ht="15">
      <c r="A202" s="3" t="s">
        <v>174</v>
      </c>
      <c r="B202" s="18"/>
      <c r="C202" s="8"/>
      <c r="D202" s="7"/>
      <c r="E202" s="7"/>
      <c r="F202" s="15"/>
      <c r="G202" s="15"/>
    </row>
    <row r="203" spans="1:7" ht="15">
      <c r="A203" s="3" t="s">
        <v>175</v>
      </c>
      <c r="B203" s="18"/>
      <c r="C203" s="8"/>
      <c r="D203" s="7"/>
      <c r="E203" s="7"/>
      <c r="F203" s="15"/>
      <c r="G203" s="15"/>
    </row>
    <row r="204" spans="1:7">
      <c r="A204" s="2"/>
      <c r="B204" s="18"/>
      <c r="C204" s="8"/>
      <c r="D204" s="7"/>
      <c r="E204" s="7"/>
      <c r="F204" s="15"/>
      <c r="G204" s="15"/>
    </row>
    <row r="205" spans="1:7" ht="15">
      <c r="A205" s="3" t="s">
        <v>176</v>
      </c>
      <c r="B205" s="18"/>
      <c r="C205" s="8"/>
      <c r="D205" s="7"/>
      <c r="E205" s="7"/>
      <c r="F205" s="15"/>
      <c r="G205" s="15"/>
    </row>
    <row r="206" spans="1:7" ht="15">
      <c r="A206" s="3" t="s">
        <v>12</v>
      </c>
      <c r="B206" s="18"/>
      <c r="C206" s="8"/>
      <c r="D206" s="7"/>
      <c r="E206" s="7"/>
      <c r="F206" s="15"/>
      <c r="G206" s="15"/>
    </row>
    <row r="207" spans="1:7" ht="15">
      <c r="A207" s="3" t="s">
        <v>177</v>
      </c>
      <c r="B207" s="18">
        <f>100*B5</f>
        <v>5</v>
      </c>
      <c r="C207" s="8"/>
      <c r="D207" s="21">
        <v>4174</v>
      </c>
      <c r="E207" s="21">
        <v>74500</v>
      </c>
      <c r="F207" s="15">
        <f t="shared" ref="F207:F267" si="10">D207*1.52</f>
        <v>6344.4800000000005</v>
      </c>
      <c r="G207" s="15">
        <f t="shared" ref="G207:G269" si="11">E207*1.52</f>
        <v>113240</v>
      </c>
    </row>
    <row r="208" spans="1:7" ht="15">
      <c r="A208" s="3" t="s">
        <v>178</v>
      </c>
      <c r="B208" s="18">
        <f>8+6*B5+8*B7</f>
        <v>8.3333333333333339</v>
      </c>
      <c r="C208" s="8"/>
      <c r="D208" s="21">
        <v>6429</v>
      </c>
      <c r="E208" s="21">
        <v>47060</v>
      </c>
      <c r="F208" s="15">
        <f t="shared" si="10"/>
        <v>9772.08</v>
      </c>
      <c r="G208" s="15">
        <f t="shared" si="11"/>
        <v>71531.199999999997</v>
      </c>
    </row>
    <row r="209" spans="1:7" ht="15">
      <c r="A209" s="3" t="s">
        <v>179</v>
      </c>
      <c r="B209" s="18">
        <v>5</v>
      </c>
      <c r="C209" s="8">
        <f>6+6*B5+2*B7</f>
        <v>6.3083333333333336</v>
      </c>
      <c r="D209" s="21">
        <v>4359</v>
      </c>
      <c r="E209" s="21">
        <v>31910</v>
      </c>
      <c r="F209" s="15">
        <f t="shared" si="10"/>
        <v>6625.68</v>
      </c>
      <c r="G209" s="15">
        <f t="shared" si="11"/>
        <v>48503.199999999997</v>
      </c>
    </row>
    <row r="210" spans="1:7" ht="15">
      <c r="A210" s="3" t="s">
        <v>180</v>
      </c>
      <c r="B210" s="18"/>
      <c r="C210" s="8"/>
      <c r="D210" s="7"/>
      <c r="E210" s="7"/>
      <c r="F210" s="15">
        <f t="shared" si="10"/>
        <v>0</v>
      </c>
      <c r="G210" s="15">
        <f t="shared" si="11"/>
        <v>0</v>
      </c>
    </row>
    <row r="211" spans="1:7" ht="15">
      <c r="A211" s="3" t="s">
        <v>181</v>
      </c>
      <c r="B211" s="18">
        <v>340</v>
      </c>
      <c r="C211" s="8"/>
      <c r="D211" s="21">
        <v>55280</v>
      </c>
      <c r="E211" s="21">
        <v>862500</v>
      </c>
      <c r="F211" s="15">
        <f t="shared" si="10"/>
        <v>84025.600000000006</v>
      </c>
      <c r="G211" s="15">
        <f t="shared" si="11"/>
        <v>1311000</v>
      </c>
    </row>
    <row r="212" spans="1:7" ht="15">
      <c r="A212" s="3" t="s">
        <v>182</v>
      </c>
      <c r="B212" s="18">
        <f>3+6*B5+8*B72</f>
        <v>3.6166666666666663</v>
      </c>
      <c r="C212" s="8"/>
      <c r="D212" s="21">
        <v>790.3</v>
      </c>
      <c r="E212" s="21">
        <v>10920</v>
      </c>
      <c r="F212" s="15">
        <f t="shared" si="10"/>
        <v>1201.2559999999999</v>
      </c>
      <c r="G212" s="15">
        <f t="shared" si="11"/>
        <v>16598.400000000001</v>
      </c>
    </row>
    <row r="213" spans="1:7" ht="15">
      <c r="A213" s="3" t="s">
        <v>183</v>
      </c>
      <c r="B213" s="18">
        <f>30*B5</f>
        <v>1.5</v>
      </c>
      <c r="C213" s="8"/>
      <c r="D213" s="21">
        <v>327.7</v>
      </c>
      <c r="E213" s="21">
        <v>4530</v>
      </c>
      <c r="F213" s="15">
        <f t="shared" si="10"/>
        <v>498.10399999999998</v>
      </c>
      <c r="G213" s="15">
        <f t="shared" si="11"/>
        <v>6885.6</v>
      </c>
    </row>
    <row r="214" spans="1:7" ht="15">
      <c r="A214" s="3" t="s">
        <v>184</v>
      </c>
      <c r="B214" s="18">
        <f>40*B5</f>
        <v>2</v>
      </c>
      <c r="C214" s="8"/>
      <c r="D214" s="21">
        <v>437</v>
      </c>
      <c r="E214" s="21">
        <v>6040</v>
      </c>
      <c r="F214" s="15">
        <f t="shared" si="10"/>
        <v>664.24</v>
      </c>
      <c r="G214" s="15">
        <f t="shared" si="11"/>
        <v>9180.7999999999993</v>
      </c>
    </row>
    <row r="215" spans="1:7" ht="15">
      <c r="A215" s="3" t="s">
        <v>185</v>
      </c>
      <c r="B215" s="18">
        <f>26*B5+8*B7</f>
        <v>1.3333333333333335</v>
      </c>
      <c r="C215" s="8"/>
      <c r="D215" s="21">
        <v>291.3</v>
      </c>
      <c r="E215" s="21">
        <v>4026</v>
      </c>
      <c r="F215" s="15">
        <f t="shared" si="10"/>
        <v>442.77600000000001</v>
      </c>
      <c r="G215" s="15">
        <f t="shared" si="11"/>
        <v>6119.52</v>
      </c>
    </row>
    <row r="216" spans="1:7" ht="15">
      <c r="A216" s="3" t="s">
        <v>186</v>
      </c>
      <c r="B216" s="18">
        <f>30*B5</f>
        <v>1.5</v>
      </c>
      <c r="C216" s="8"/>
      <c r="D216" s="21">
        <v>327.7</v>
      </c>
      <c r="E216" s="21">
        <v>4530</v>
      </c>
      <c r="F216" s="15">
        <f t="shared" si="10"/>
        <v>498.10399999999998</v>
      </c>
      <c r="G216" s="15">
        <f t="shared" si="11"/>
        <v>6885.6</v>
      </c>
    </row>
    <row r="217" spans="1:7" ht="15">
      <c r="A217" s="3" t="s">
        <v>187</v>
      </c>
      <c r="B217" s="18">
        <f>3*B5+4*B7</f>
        <v>0.16666666666666669</v>
      </c>
      <c r="C217" s="8"/>
      <c r="D217" s="21">
        <v>36.49</v>
      </c>
      <c r="E217" s="21">
        <v>36.49</v>
      </c>
      <c r="F217" s="15">
        <f t="shared" si="10"/>
        <v>55.464800000000004</v>
      </c>
      <c r="G217" s="15">
        <f t="shared" si="11"/>
        <v>55.464800000000004</v>
      </c>
    </row>
    <row r="218" spans="1:7" ht="15">
      <c r="A218" s="3" t="s">
        <v>188</v>
      </c>
      <c r="B218" s="18">
        <f>4*B5</f>
        <v>0.2</v>
      </c>
      <c r="C218" s="8"/>
      <c r="D218" s="21">
        <v>43.7</v>
      </c>
      <c r="E218" s="21">
        <v>604</v>
      </c>
      <c r="F218" s="15">
        <f t="shared" si="10"/>
        <v>66.424000000000007</v>
      </c>
      <c r="G218" s="15">
        <f t="shared" si="11"/>
        <v>918.08</v>
      </c>
    </row>
    <row r="219" spans="1:7" ht="15">
      <c r="A219" s="3" t="s">
        <v>189</v>
      </c>
      <c r="B219" s="18"/>
      <c r="C219" s="8"/>
      <c r="D219" s="7"/>
      <c r="E219" s="7"/>
      <c r="F219" s="15"/>
      <c r="G219" s="15"/>
    </row>
    <row r="220" spans="1:7" ht="15">
      <c r="A220" s="3" t="s">
        <v>190</v>
      </c>
      <c r="B220" s="18">
        <f>1+6*B5</f>
        <v>1.3</v>
      </c>
      <c r="C220" s="8"/>
      <c r="D220" s="21">
        <v>213.9</v>
      </c>
      <c r="E220" s="21">
        <v>3450</v>
      </c>
      <c r="F220" s="15">
        <f t="shared" si="10"/>
        <v>325.12799999999999</v>
      </c>
      <c r="G220" s="15">
        <f t="shared" si="11"/>
        <v>5244</v>
      </c>
    </row>
    <row r="221" spans="1:7" ht="15">
      <c r="A221" s="3" t="s">
        <v>191</v>
      </c>
      <c r="B221" s="18">
        <v>1</v>
      </c>
      <c r="C221" s="8"/>
      <c r="D221" s="21">
        <v>164.5</v>
      </c>
      <c r="E221" s="21">
        <v>2654</v>
      </c>
      <c r="F221" s="15">
        <f t="shared" si="10"/>
        <v>250.04</v>
      </c>
      <c r="G221" s="15">
        <f t="shared" si="11"/>
        <v>4034.08</v>
      </c>
    </row>
    <row r="222" spans="1:7" ht="15">
      <c r="A222" s="3" t="s">
        <v>192</v>
      </c>
      <c r="B222" s="18">
        <v>4</v>
      </c>
      <c r="C222" s="8"/>
      <c r="D222" s="7">
        <f>D221*4</f>
        <v>658</v>
      </c>
      <c r="E222" s="7">
        <f>E221*4</f>
        <v>10616</v>
      </c>
      <c r="F222" s="15">
        <f t="shared" si="10"/>
        <v>1000.16</v>
      </c>
      <c r="G222" s="15">
        <f t="shared" si="11"/>
        <v>16136.32</v>
      </c>
    </row>
    <row r="223" spans="1:7" ht="15">
      <c r="A223" s="3" t="s">
        <v>193</v>
      </c>
      <c r="B223" s="18">
        <f>24*B5</f>
        <v>1.2000000000000002</v>
      </c>
      <c r="C223" s="8"/>
      <c r="D223" s="7">
        <f>D221*1.2</f>
        <v>197.4</v>
      </c>
      <c r="E223" s="7">
        <f>E221*1.2</f>
        <v>3184.7999999999997</v>
      </c>
      <c r="F223" s="15">
        <f t="shared" si="10"/>
        <v>300.048</v>
      </c>
      <c r="G223" s="15">
        <f t="shared" si="11"/>
        <v>4840.8959999999997</v>
      </c>
    </row>
    <row r="224" spans="1:7" ht="15">
      <c r="A224" s="3" t="s">
        <v>194</v>
      </c>
      <c r="B224" s="18">
        <v>4</v>
      </c>
      <c r="C224" s="8"/>
      <c r="D224" s="7">
        <f>D222</f>
        <v>658</v>
      </c>
      <c r="E224" s="7">
        <f>E222</f>
        <v>10616</v>
      </c>
      <c r="F224" s="15">
        <f t="shared" si="10"/>
        <v>1000.16</v>
      </c>
      <c r="G224" s="15">
        <f t="shared" si="11"/>
        <v>16136.32</v>
      </c>
    </row>
    <row r="225" spans="1:7" ht="15">
      <c r="A225" s="3" t="s">
        <v>195</v>
      </c>
      <c r="B225" s="18">
        <f>14+2*B5+8*B7</f>
        <v>14.133333333333333</v>
      </c>
      <c r="C225" s="8"/>
      <c r="D225" s="21">
        <v>2108</v>
      </c>
      <c r="E225" s="21">
        <v>26580</v>
      </c>
      <c r="F225" s="15">
        <f t="shared" si="10"/>
        <v>3204.16</v>
      </c>
      <c r="G225" s="15">
        <f t="shared" si="11"/>
        <v>40401.599999999999</v>
      </c>
    </row>
    <row r="226" spans="1:7" ht="15">
      <c r="A226" s="3" t="s">
        <v>196</v>
      </c>
      <c r="B226" s="18">
        <f>13*B5+4*B7</f>
        <v>0.66666666666666674</v>
      </c>
      <c r="C226" s="8"/>
      <c r="D226" s="21">
        <v>386.6</v>
      </c>
      <c r="E226" s="21">
        <v>4674</v>
      </c>
      <c r="F226" s="15">
        <f t="shared" si="10"/>
        <v>587.63200000000006</v>
      </c>
      <c r="G226" s="15">
        <f t="shared" si="11"/>
        <v>7104.4800000000005</v>
      </c>
    </row>
    <row r="227" spans="1:7" ht="15">
      <c r="A227" s="3" t="s">
        <v>197</v>
      </c>
      <c r="B227" s="18">
        <f>3*B5+4*B7</f>
        <v>0.16666666666666669</v>
      </c>
      <c r="C227" s="8"/>
      <c r="D227" s="21">
        <v>96.8</v>
      </c>
      <c r="E227" s="21">
        <v>1170</v>
      </c>
      <c r="F227" s="15">
        <f t="shared" si="10"/>
        <v>147.136</v>
      </c>
      <c r="G227" s="15">
        <f t="shared" si="11"/>
        <v>1778.4</v>
      </c>
    </row>
    <row r="228" spans="1:7" ht="15">
      <c r="A228" s="3" t="s">
        <v>198</v>
      </c>
      <c r="B228" s="18"/>
      <c r="C228" s="8"/>
      <c r="D228" s="7"/>
      <c r="E228" s="7"/>
      <c r="F228" s="15"/>
      <c r="G228" s="15"/>
    </row>
    <row r="229" spans="1:7" ht="15">
      <c r="A229" s="3" t="s">
        <v>199</v>
      </c>
      <c r="B229" s="18"/>
      <c r="C229" s="8"/>
      <c r="D229" s="7"/>
      <c r="E229" s="7"/>
      <c r="F229" s="15"/>
      <c r="G229" s="15"/>
    </row>
    <row r="230" spans="1:7" ht="15">
      <c r="A230" s="3" t="s">
        <v>200</v>
      </c>
      <c r="B230" s="18">
        <f>5*B5</f>
        <v>0.25</v>
      </c>
      <c r="C230" s="8"/>
      <c r="D230" s="21">
        <v>218.5</v>
      </c>
      <c r="E230" s="21">
        <v>3574</v>
      </c>
      <c r="F230" s="15">
        <f t="shared" si="10"/>
        <v>332.12</v>
      </c>
      <c r="G230" s="15">
        <f t="shared" si="11"/>
        <v>5432.4800000000005</v>
      </c>
    </row>
    <row r="231" spans="1:7" ht="15">
      <c r="A231" s="3" t="s">
        <v>201</v>
      </c>
      <c r="B231" s="18">
        <f>16+6*B5+8*B7</f>
        <v>16.333333333333336</v>
      </c>
      <c r="C231" s="8"/>
      <c r="D231" s="21">
        <v>10380</v>
      </c>
      <c r="E231" s="21">
        <v>107700</v>
      </c>
      <c r="F231" s="15">
        <f t="shared" si="10"/>
        <v>15777.6</v>
      </c>
      <c r="G231" s="15">
        <f t="shared" si="11"/>
        <v>163704</v>
      </c>
    </row>
    <row r="232" spans="1:7" ht="15">
      <c r="A232" s="3" t="s">
        <v>202</v>
      </c>
      <c r="B232" s="18"/>
      <c r="C232" s="8"/>
      <c r="D232" s="7"/>
      <c r="E232" s="7"/>
      <c r="F232" s="15"/>
      <c r="G232" s="15"/>
    </row>
    <row r="233" spans="1:7" ht="15">
      <c r="A233" s="3" t="s">
        <v>203</v>
      </c>
      <c r="B233" s="18">
        <v>103</v>
      </c>
      <c r="C233" s="8"/>
      <c r="D233" s="21">
        <v>66600</v>
      </c>
      <c r="E233" s="21">
        <v>686700</v>
      </c>
      <c r="F233" s="15">
        <f t="shared" si="10"/>
        <v>101232</v>
      </c>
      <c r="G233" s="15">
        <f t="shared" si="11"/>
        <v>1043784</v>
      </c>
    </row>
    <row r="234" spans="1:7" ht="15">
      <c r="A234" s="3" t="s">
        <v>204</v>
      </c>
      <c r="B234" s="18"/>
      <c r="C234" s="8"/>
      <c r="D234" s="7"/>
      <c r="E234" s="7"/>
      <c r="F234" s="15"/>
      <c r="G234" s="15"/>
    </row>
    <row r="235" spans="1:7" ht="15">
      <c r="A235" s="3" t="s">
        <v>205</v>
      </c>
      <c r="B235" s="18">
        <f>5*B7</f>
        <v>2.0833333333333332E-2</v>
      </c>
      <c r="C235" s="8"/>
      <c r="D235" s="21">
        <v>6.87</v>
      </c>
      <c r="E235" s="21">
        <v>71.94</v>
      </c>
      <c r="F235" s="15">
        <f t="shared" si="10"/>
        <v>10.442400000000001</v>
      </c>
      <c r="G235" s="15">
        <f t="shared" si="11"/>
        <v>109.3488</v>
      </c>
    </row>
    <row r="236" spans="1:7" ht="15">
      <c r="A236" s="3" t="s">
        <v>206</v>
      </c>
      <c r="B236" s="18"/>
      <c r="C236" s="8"/>
      <c r="D236" s="7"/>
      <c r="E236" s="7"/>
      <c r="F236" s="15"/>
      <c r="G236" s="15"/>
    </row>
    <row r="237" spans="1:7" ht="15">
      <c r="A237" s="3" t="s">
        <v>207</v>
      </c>
      <c r="B237" s="18"/>
      <c r="C237" s="8"/>
      <c r="D237" s="7"/>
      <c r="E237" s="7"/>
      <c r="F237" s="15"/>
      <c r="G237" s="15"/>
    </row>
    <row r="238" spans="1:7" ht="15">
      <c r="A238" s="3" t="s">
        <v>208</v>
      </c>
      <c r="B238" s="18">
        <f>1*B5+4*B7</f>
        <v>6.6666666666666666E-2</v>
      </c>
      <c r="C238" s="8"/>
      <c r="D238" s="21">
        <v>10.82</v>
      </c>
      <c r="E238" s="21">
        <v>188.1</v>
      </c>
      <c r="F238" s="15">
        <f t="shared" si="10"/>
        <v>16.446400000000001</v>
      </c>
      <c r="G238" s="15">
        <f t="shared" si="11"/>
        <v>285.91199999999998</v>
      </c>
    </row>
    <row r="239" spans="1:7" ht="15">
      <c r="A239" s="3" t="s">
        <v>209</v>
      </c>
      <c r="B239" s="18">
        <f>9*B7</f>
        <v>3.7499999999999999E-2</v>
      </c>
      <c r="C239" s="8"/>
      <c r="D239" s="21">
        <v>26.24</v>
      </c>
      <c r="E239" s="21">
        <v>230.9</v>
      </c>
      <c r="F239" s="15">
        <f t="shared" si="10"/>
        <v>39.884799999999998</v>
      </c>
      <c r="G239" s="15">
        <f t="shared" si="11"/>
        <v>350.96800000000002</v>
      </c>
    </row>
    <row r="240" spans="1:7">
      <c r="B240" s="18"/>
      <c r="C240" s="8"/>
      <c r="D240" s="7"/>
      <c r="E240" s="7"/>
      <c r="F240" s="15"/>
      <c r="G240" s="15"/>
    </row>
    <row r="241" spans="1:7" ht="157">
      <c r="A241" s="13" t="s">
        <v>210</v>
      </c>
      <c r="B241" s="18"/>
      <c r="C241" s="8"/>
      <c r="D241" s="7"/>
      <c r="E241" s="7"/>
      <c r="F241" s="15"/>
      <c r="G241" s="15"/>
    </row>
    <row r="242" spans="1:7">
      <c r="A242" s="2"/>
      <c r="B242" s="18"/>
      <c r="C242" s="8"/>
      <c r="D242" s="7"/>
      <c r="E242" s="7"/>
      <c r="F242" s="15"/>
      <c r="G242" s="15"/>
    </row>
    <row r="243" spans="1:7" ht="15">
      <c r="A243" s="3" t="s">
        <v>211</v>
      </c>
      <c r="B243" s="18"/>
      <c r="C243" s="8"/>
      <c r="D243" s="7"/>
      <c r="E243" s="7"/>
      <c r="F243" s="15">
        <f t="shared" si="10"/>
        <v>0</v>
      </c>
      <c r="G243" s="15">
        <f t="shared" si="11"/>
        <v>0</v>
      </c>
    </row>
    <row r="244" spans="1:7" ht="15">
      <c r="A244" s="3" t="s">
        <v>212</v>
      </c>
      <c r="B244" s="18">
        <f>5*B5+6*B7</f>
        <v>0.27500000000000002</v>
      </c>
      <c r="C244" s="8"/>
      <c r="D244" s="21">
        <v>45.24</v>
      </c>
      <c r="E244" s="21">
        <v>729.8</v>
      </c>
      <c r="F244" s="15">
        <f t="shared" si="10"/>
        <v>68.764800000000008</v>
      </c>
      <c r="G244" s="15">
        <f t="shared" si="11"/>
        <v>1109.296</v>
      </c>
    </row>
    <row r="245" spans="1:7" ht="15">
      <c r="A245" s="3" t="s">
        <v>213</v>
      </c>
      <c r="B245" s="18">
        <f>7*B5+6*B7</f>
        <v>0.37500000000000006</v>
      </c>
      <c r="C245" s="8"/>
      <c r="D245" s="21">
        <v>61.69</v>
      </c>
      <c r="E245" s="21">
        <v>995.2</v>
      </c>
      <c r="F245" s="15">
        <f t="shared" si="10"/>
        <v>93.768799999999999</v>
      </c>
      <c r="G245" s="15">
        <f t="shared" si="11"/>
        <v>1512.7040000000002</v>
      </c>
    </row>
    <row r="246" spans="1:7" ht="15">
      <c r="A246" s="3" t="s">
        <v>214</v>
      </c>
      <c r="B246" s="18">
        <f>26*B5</f>
        <v>1.3</v>
      </c>
      <c r="C246" s="8"/>
      <c r="D246" s="21">
        <v>213.9</v>
      </c>
      <c r="E246" s="21">
        <v>3450</v>
      </c>
      <c r="F246" s="15">
        <f t="shared" si="10"/>
        <v>325.12799999999999</v>
      </c>
      <c r="G246" s="15">
        <f t="shared" si="11"/>
        <v>5244</v>
      </c>
    </row>
    <row r="247" spans="1:7" ht="15">
      <c r="A247" s="3" t="s">
        <v>215</v>
      </c>
      <c r="B247" s="18"/>
      <c r="C247" s="8"/>
      <c r="D247" s="7"/>
      <c r="E247" s="7"/>
      <c r="F247" s="15">
        <f t="shared" si="10"/>
        <v>0</v>
      </c>
      <c r="G247" s="15">
        <f t="shared" si="11"/>
        <v>0</v>
      </c>
    </row>
    <row r="248" spans="1:7" ht="15">
      <c r="A248" s="3" t="s">
        <v>216</v>
      </c>
      <c r="B248" s="18">
        <f>14*B5+5*B7</f>
        <v>0.72083333333333344</v>
      </c>
      <c r="C248" s="8"/>
      <c r="D248" s="21">
        <v>118.6</v>
      </c>
      <c r="E248" s="21">
        <v>1913</v>
      </c>
      <c r="F248" s="15">
        <f t="shared" si="10"/>
        <v>180.27199999999999</v>
      </c>
      <c r="G248" s="15">
        <f t="shared" si="11"/>
        <v>2907.76</v>
      </c>
    </row>
    <row r="249" spans="1:7" ht="15">
      <c r="A249" s="3" t="s">
        <v>217</v>
      </c>
      <c r="B249" s="18">
        <f>40*B5</f>
        <v>2</v>
      </c>
      <c r="C249" s="8"/>
      <c r="D249" s="21">
        <v>329</v>
      </c>
      <c r="E249" s="21">
        <v>5308</v>
      </c>
      <c r="F249" s="15">
        <f t="shared" si="10"/>
        <v>500.08</v>
      </c>
      <c r="G249" s="15">
        <f t="shared" si="11"/>
        <v>8068.16</v>
      </c>
    </row>
    <row r="250" spans="1:7" ht="15">
      <c r="A250" s="3" t="s">
        <v>218</v>
      </c>
      <c r="B250" s="18">
        <f>80*B5</f>
        <v>4</v>
      </c>
      <c r="C250" s="8"/>
      <c r="D250" s="7">
        <f>D249*2</f>
        <v>658</v>
      </c>
      <c r="E250" s="7">
        <f>E249*2</f>
        <v>10616</v>
      </c>
      <c r="F250" s="15">
        <f t="shared" si="10"/>
        <v>1000.16</v>
      </c>
      <c r="G250" s="15">
        <f t="shared" si="11"/>
        <v>16136.32</v>
      </c>
    </row>
    <row r="251" spans="1:7">
      <c r="A251" s="2"/>
      <c r="B251" s="18"/>
      <c r="C251" s="8"/>
      <c r="D251" s="7"/>
      <c r="E251" s="7"/>
      <c r="F251" s="15"/>
      <c r="G251" s="15"/>
    </row>
    <row r="252" spans="1:7" ht="15">
      <c r="A252" s="3" t="s">
        <v>219</v>
      </c>
      <c r="B252" s="18"/>
      <c r="C252" s="8"/>
      <c r="D252" s="7"/>
      <c r="E252" s="7"/>
      <c r="F252" s="15"/>
      <c r="G252" s="15"/>
    </row>
    <row r="253" spans="1:7" ht="15">
      <c r="A253" s="3" t="s">
        <v>12</v>
      </c>
      <c r="B253" s="18"/>
      <c r="C253" s="8"/>
      <c r="D253" s="7"/>
      <c r="E253" s="7"/>
      <c r="F253" s="15"/>
      <c r="G253" s="15"/>
    </row>
    <row r="254" spans="1:7" ht="15">
      <c r="A254" s="3" t="s">
        <v>220</v>
      </c>
      <c r="B254" s="18">
        <f>6*B7</f>
        <v>2.5000000000000001E-2</v>
      </c>
      <c r="C254" s="8"/>
      <c r="D254" s="21">
        <v>21.19</v>
      </c>
      <c r="E254" s="21">
        <v>328.9</v>
      </c>
      <c r="F254" s="15">
        <f t="shared" si="10"/>
        <v>32.208800000000004</v>
      </c>
      <c r="G254" s="15">
        <f t="shared" si="11"/>
        <v>499.928</v>
      </c>
    </row>
    <row r="255" spans="1:7" ht="15">
      <c r="A255" s="3" t="s">
        <v>221</v>
      </c>
      <c r="B255" s="18"/>
      <c r="C255" s="8"/>
      <c r="D255" s="7"/>
      <c r="E255" s="7"/>
      <c r="F255" s="15"/>
      <c r="G255" s="15"/>
    </row>
    <row r="256" spans="1:7" ht="15">
      <c r="A256" s="3" t="s">
        <v>222</v>
      </c>
      <c r="B256" s="18">
        <f>2+16*B5</f>
        <v>2.8</v>
      </c>
      <c r="C256" s="8"/>
      <c r="D256" s="21">
        <v>336.8</v>
      </c>
      <c r="E256" s="21">
        <v>5776</v>
      </c>
      <c r="F256" s="15">
        <f t="shared" si="10"/>
        <v>511.93600000000004</v>
      </c>
      <c r="G256" s="15">
        <f t="shared" si="11"/>
        <v>8779.52</v>
      </c>
    </row>
    <row r="257" spans="1:7" ht="15">
      <c r="A257" s="3" t="s">
        <v>223</v>
      </c>
      <c r="B257" s="18">
        <f>6*B7</f>
        <v>2.5000000000000001E-2</v>
      </c>
      <c r="C257" s="8"/>
      <c r="D257" s="21">
        <v>3.01</v>
      </c>
      <c r="E257" s="21">
        <v>51.57</v>
      </c>
      <c r="F257" s="15">
        <f t="shared" si="10"/>
        <v>4.5751999999999997</v>
      </c>
      <c r="G257" s="15">
        <f t="shared" si="11"/>
        <v>78.386399999999995</v>
      </c>
    </row>
    <row r="258" spans="1:7" ht="15">
      <c r="A258" s="3" t="s">
        <v>224</v>
      </c>
      <c r="B258" s="18">
        <f>1+10*B5</f>
        <v>1.5</v>
      </c>
      <c r="C258" s="8"/>
      <c r="D258" s="21">
        <v>180.4</v>
      </c>
      <c r="E258" s="21">
        <v>3094</v>
      </c>
      <c r="F258" s="15">
        <f t="shared" si="10"/>
        <v>274.20800000000003</v>
      </c>
      <c r="G258" s="15">
        <f t="shared" si="11"/>
        <v>4702.88</v>
      </c>
    </row>
    <row r="259" spans="1:7" ht="15">
      <c r="A259" s="3" t="s">
        <v>225</v>
      </c>
      <c r="B259" s="18">
        <f>B5</f>
        <v>0.05</v>
      </c>
      <c r="C259" s="8"/>
      <c r="D259" s="21">
        <v>6.02</v>
      </c>
      <c r="E259" s="21">
        <v>103.1</v>
      </c>
      <c r="F259" s="15">
        <f t="shared" si="10"/>
        <v>9.1503999999999994</v>
      </c>
      <c r="G259" s="15">
        <f t="shared" si="11"/>
        <v>156.71199999999999</v>
      </c>
    </row>
    <row r="260" spans="1:7" ht="15">
      <c r="A260" s="3" t="s">
        <v>226</v>
      </c>
      <c r="B260" s="18">
        <f>2+5*B5</f>
        <v>2.25</v>
      </c>
      <c r="C260" s="8"/>
      <c r="D260" s="21">
        <v>270.7</v>
      </c>
      <c r="E260" s="21">
        <v>4642</v>
      </c>
      <c r="F260" s="15">
        <f t="shared" si="10"/>
        <v>411.464</v>
      </c>
      <c r="G260" s="15">
        <f t="shared" si="11"/>
        <v>7055.84</v>
      </c>
    </row>
    <row r="261" spans="1:7" ht="15">
      <c r="A261" s="3" t="s">
        <v>227</v>
      </c>
      <c r="B261" s="18">
        <f>1+2*B5</f>
        <v>1.1000000000000001</v>
      </c>
      <c r="C261" s="8"/>
      <c r="D261" s="21">
        <v>132.30000000000001</v>
      </c>
      <c r="E261" s="21">
        <v>2269</v>
      </c>
      <c r="F261" s="15">
        <f t="shared" si="10"/>
        <v>201.09600000000003</v>
      </c>
      <c r="G261" s="15">
        <f t="shared" si="11"/>
        <v>3448.88</v>
      </c>
    </row>
    <row r="262" spans="1:7" ht="15">
      <c r="A262" s="3" t="s">
        <v>228</v>
      </c>
      <c r="B262" s="18">
        <f>16*B5+6*B7</f>
        <v>0.82500000000000007</v>
      </c>
      <c r="C262" s="8">
        <f>18*B5+6*B7</f>
        <v>0.92500000000000004</v>
      </c>
      <c r="D262" s="21">
        <v>99.24</v>
      </c>
      <c r="E262" s="21">
        <v>1702</v>
      </c>
      <c r="F262" s="15">
        <f t="shared" si="10"/>
        <v>150.84479999999999</v>
      </c>
      <c r="G262" s="15">
        <f t="shared" si="11"/>
        <v>2587.04</v>
      </c>
    </row>
    <row r="263" spans="1:7" ht="144">
      <c r="A263" s="9" t="s">
        <v>229</v>
      </c>
      <c r="B263" s="18"/>
      <c r="C263" s="8"/>
      <c r="D263" s="7"/>
      <c r="E263" s="7"/>
      <c r="F263" s="15"/>
      <c r="G263" s="15"/>
    </row>
    <row r="264" spans="1:7">
      <c r="A264" s="2"/>
      <c r="B264" s="18"/>
      <c r="C264" s="8"/>
      <c r="D264" s="7"/>
      <c r="E264" s="7"/>
      <c r="F264" s="15"/>
      <c r="G264" s="15"/>
    </row>
    <row r="265" spans="1:7" ht="15">
      <c r="A265" s="3" t="s">
        <v>230</v>
      </c>
      <c r="B265" s="18"/>
      <c r="C265" s="8"/>
      <c r="D265" s="7"/>
      <c r="E265" s="7"/>
      <c r="F265" s="15"/>
      <c r="G265" s="15"/>
    </row>
    <row r="266" spans="1:7" ht="15">
      <c r="A266" s="3" t="s">
        <v>12</v>
      </c>
      <c r="B266" s="18"/>
      <c r="C266" s="8"/>
      <c r="D266" s="7"/>
      <c r="E266" s="7"/>
      <c r="F266" s="15"/>
      <c r="G266" s="15"/>
    </row>
    <row r="267" spans="1:7" ht="15">
      <c r="A267" s="3" t="s">
        <v>231</v>
      </c>
      <c r="B267" s="18">
        <f>13*B5+4*B7</f>
        <v>0.66666666666666674</v>
      </c>
      <c r="C267" s="8"/>
      <c r="D267" s="21">
        <v>466.4</v>
      </c>
      <c r="E267" s="21">
        <v>4796</v>
      </c>
      <c r="F267" s="15">
        <f t="shared" si="10"/>
        <v>708.928</v>
      </c>
      <c r="G267" s="15">
        <f t="shared" si="11"/>
        <v>7289.92</v>
      </c>
    </row>
    <row r="268" spans="1:7" ht="15">
      <c r="A268" s="3" t="s">
        <v>232</v>
      </c>
      <c r="B268" s="18">
        <f>35*B5+11*B7</f>
        <v>1.7958333333333334</v>
      </c>
      <c r="C268" s="8"/>
      <c r="D268" s="21">
        <v>1256</v>
      </c>
      <c r="E268" s="21">
        <v>12910</v>
      </c>
      <c r="F268" s="15">
        <f t="shared" ref="F268:F332" si="12">D268*1.52</f>
        <v>1909.1200000000001</v>
      </c>
      <c r="G268" s="15">
        <f t="shared" si="11"/>
        <v>19623.2</v>
      </c>
    </row>
    <row r="269" spans="1:7" ht="15">
      <c r="A269" s="3" t="s">
        <v>233</v>
      </c>
      <c r="B269" s="18">
        <f>57*B5</f>
        <v>2.85</v>
      </c>
      <c r="C269" s="8">
        <f>63*B5+4*B7</f>
        <v>3.166666666666667</v>
      </c>
      <c r="D269" s="21">
        <v>2105</v>
      </c>
      <c r="E269" s="21">
        <v>21640</v>
      </c>
      <c r="F269" s="15">
        <f t="shared" si="12"/>
        <v>3199.6</v>
      </c>
      <c r="G269" s="15">
        <f t="shared" si="11"/>
        <v>32892.800000000003</v>
      </c>
    </row>
    <row r="270" spans="1:7" ht="15">
      <c r="A270" s="3" t="s">
        <v>234</v>
      </c>
      <c r="B270" s="18"/>
      <c r="C270" s="8"/>
      <c r="D270" s="7"/>
      <c r="E270" s="7"/>
      <c r="F270" s="15"/>
      <c r="G270" s="15"/>
    </row>
    <row r="271" spans="1:7" ht="15">
      <c r="A271" s="3" t="s">
        <v>235</v>
      </c>
      <c r="B271" s="18">
        <f>B5</f>
        <v>0.05</v>
      </c>
      <c r="C271" s="8">
        <f>13*B5+4*B7</f>
        <v>0.66666666666666674</v>
      </c>
      <c r="D271" s="21">
        <v>251.7</v>
      </c>
      <c r="E271" s="21">
        <v>2588</v>
      </c>
      <c r="F271" s="15">
        <f t="shared" si="12"/>
        <v>382.584</v>
      </c>
      <c r="G271" s="15">
        <f t="shared" ref="G271:G334" si="13">E271*1.52</f>
        <v>3933.76</v>
      </c>
    </row>
    <row r="272" spans="1:7" ht="15">
      <c r="A272" s="3" t="s">
        <v>236</v>
      </c>
      <c r="B272" s="18">
        <f>20*B5</f>
        <v>1</v>
      </c>
      <c r="C272" s="8"/>
      <c r="D272" s="21">
        <v>699.2</v>
      </c>
      <c r="E272" s="21">
        <v>7190</v>
      </c>
      <c r="F272" s="15">
        <f t="shared" si="12"/>
        <v>1062.7840000000001</v>
      </c>
      <c r="G272" s="15">
        <f t="shared" si="13"/>
        <v>10928.8</v>
      </c>
    </row>
    <row r="273" spans="1:7" ht="15">
      <c r="A273" s="3" t="s">
        <v>237</v>
      </c>
      <c r="B273" s="18">
        <v>3</v>
      </c>
      <c r="C273" s="8">
        <v>4</v>
      </c>
      <c r="D273" s="21">
        <v>2447</v>
      </c>
      <c r="E273" s="21">
        <v>25170</v>
      </c>
      <c r="F273" s="15">
        <f t="shared" si="12"/>
        <v>3719.44</v>
      </c>
      <c r="G273" s="15">
        <f t="shared" si="13"/>
        <v>38258.400000000001</v>
      </c>
    </row>
    <row r="274" spans="1:7" ht="15">
      <c r="A274" s="3" t="s">
        <v>238</v>
      </c>
      <c r="B274" s="18">
        <f>66+13*B5+4*B7</f>
        <v>66.666666666666671</v>
      </c>
      <c r="C274" s="8"/>
      <c r="D274" s="21">
        <v>47200</v>
      </c>
      <c r="E274" s="21">
        <v>367300</v>
      </c>
      <c r="F274" s="15">
        <f t="shared" si="12"/>
        <v>71744</v>
      </c>
      <c r="G274" s="15">
        <f t="shared" si="13"/>
        <v>558296</v>
      </c>
    </row>
    <row r="275" spans="1:7" ht="15">
      <c r="A275" s="3" t="s">
        <v>239</v>
      </c>
      <c r="B275" s="18"/>
      <c r="C275" s="8"/>
      <c r="D275" s="7"/>
      <c r="E275" s="7"/>
      <c r="F275" s="15">
        <f t="shared" si="12"/>
        <v>0</v>
      </c>
      <c r="G275" s="15">
        <f t="shared" si="13"/>
        <v>0</v>
      </c>
    </row>
    <row r="276" spans="1:7" ht="15">
      <c r="A276" s="3" t="s">
        <v>240</v>
      </c>
      <c r="B276" s="18">
        <v>1000</v>
      </c>
      <c r="C276" s="8"/>
      <c r="D276" s="21">
        <v>708000</v>
      </c>
      <c r="E276" s="21">
        <v>5509000</v>
      </c>
      <c r="F276" s="15">
        <f t="shared" si="12"/>
        <v>1076160</v>
      </c>
      <c r="G276" s="15">
        <f t="shared" si="13"/>
        <v>8373680</v>
      </c>
    </row>
    <row r="277" spans="1:7" ht="15">
      <c r="A277" s="3" t="s">
        <v>241</v>
      </c>
      <c r="B277" s="18"/>
      <c r="C277" s="8"/>
      <c r="D277" s="7"/>
      <c r="E277" s="7"/>
      <c r="F277" s="15">
        <f t="shared" si="12"/>
        <v>0</v>
      </c>
      <c r="G277" s="15">
        <f t="shared" si="13"/>
        <v>0</v>
      </c>
    </row>
    <row r="278" spans="1:7" ht="15">
      <c r="A278" s="3" t="s">
        <v>242</v>
      </c>
      <c r="B278" s="18">
        <v>100</v>
      </c>
      <c r="C278" s="8"/>
      <c r="D278" s="21">
        <v>71250</v>
      </c>
      <c r="E278" s="21">
        <v>654400</v>
      </c>
      <c r="F278" s="15">
        <f t="shared" si="12"/>
        <v>108300</v>
      </c>
      <c r="G278" s="15">
        <f t="shared" si="13"/>
        <v>994688</v>
      </c>
    </row>
    <row r="279" spans="1:7">
      <c r="A279" s="2"/>
      <c r="B279" s="18"/>
      <c r="C279" s="8"/>
      <c r="D279" s="7"/>
      <c r="E279" s="7"/>
      <c r="F279" s="15"/>
      <c r="G279" s="15"/>
    </row>
    <row r="280" spans="1:7" ht="15">
      <c r="A280" s="3" t="s">
        <v>243</v>
      </c>
      <c r="B280" s="18"/>
      <c r="C280" s="8"/>
      <c r="D280" s="7"/>
      <c r="E280" s="7"/>
      <c r="F280" s="15"/>
      <c r="G280" s="15"/>
    </row>
    <row r="281" spans="1:7">
      <c r="A281" s="2"/>
      <c r="B281" s="18"/>
      <c r="C281" s="8"/>
      <c r="D281" s="7"/>
      <c r="E281" s="7"/>
      <c r="F281" s="15"/>
      <c r="G281" s="15"/>
    </row>
    <row r="282" spans="1:7" ht="15">
      <c r="A282" s="3" t="s">
        <v>244</v>
      </c>
      <c r="B282" s="18"/>
      <c r="C282" s="8"/>
      <c r="D282" s="7"/>
      <c r="E282" s="7"/>
      <c r="F282" s="15"/>
      <c r="G282" s="15"/>
    </row>
    <row r="283" spans="1:7" ht="15">
      <c r="A283" s="3" t="s">
        <v>12</v>
      </c>
      <c r="B283" s="18"/>
      <c r="C283" s="8"/>
      <c r="D283" s="7"/>
      <c r="E283" s="7"/>
      <c r="F283" s="15"/>
      <c r="G283" s="15"/>
    </row>
    <row r="284" spans="1:7" ht="15">
      <c r="A284" s="3" t="s">
        <v>245</v>
      </c>
      <c r="B284" s="18"/>
      <c r="C284" s="8"/>
      <c r="D284" s="7"/>
      <c r="E284" s="7"/>
      <c r="F284" s="15"/>
      <c r="G284" s="15"/>
    </row>
    <row r="285" spans="1:7" ht="15">
      <c r="A285" s="3" t="s">
        <v>246</v>
      </c>
      <c r="B285" s="18">
        <v>7</v>
      </c>
      <c r="C285" s="8"/>
      <c r="D285" s="21">
        <v>4606</v>
      </c>
      <c r="E285" s="21">
        <v>44860</v>
      </c>
      <c r="F285" s="15">
        <f t="shared" si="12"/>
        <v>7001.12</v>
      </c>
      <c r="G285" s="15">
        <f t="shared" si="13"/>
        <v>68187.199999999997</v>
      </c>
    </row>
    <row r="286" spans="1:7" ht="15">
      <c r="A286" s="3" t="s">
        <v>247</v>
      </c>
      <c r="B286" s="18"/>
      <c r="C286" s="8"/>
      <c r="D286" s="7"/>
      <c r="E286" s="7"/>
      <c r="F286" s="15"/>
      <c r="G286" s="15"/>
    </row>
    <row r="287" spans="1:7" ht="15">
      <c r="A287" s="3" t="s">
        <v>248</v>
      </c>
      <c r="B287" s="18"/>
      <c r="C287" s="8"/>
      <c r="D287" s="7"/>
      <c r="E287" s="7"/>
      <c r="F287" s="15"/>
      <c r="G287" s="15"/>
    </row>
    <row r="288" spans="1:7" ht="15">
      <c r="A288" s="3" t="s">
        <v>249</v>
      </c>
      <c r="B288" s="18">
        <v>8</v>
      </c>
      <c r="C288" s="8"/>
      <c r="D288" s="21">
        <v>4917</v>
      </c>
      <c r="E288" s="21">
        <v>100400</v>
      </c>
      <c r="F288" s="15">
        <f t="shared" si="12"/>
        <v>7473.84</v>
      </c>
      <c r="G288" s="15">
        <f t="shared" si="13"/>
        <v>152608</v>
      </c>
    </row>
    <row r="289" spans="1:7" ht="15">
      <c r="A289" s="3" t="s">
        <v>250</v>
      </c>
      <c r="B289" s="18"/>
      <c r="C289" s="8"/>
      <c r="D289" s="7"/>
      <c r="E289" s="7"/>
      <c r="F289" s="15"/>
      <c r="G289" s="15"/>
    </row>
    <row r="290" spans="1:7" ht="15">
      <c r="A290" s="3" t="s">
        <v>251</v>
      </c>
      <c r="B290" s="18">
        <v>130</v>
      </c>
      <c r="C290" s="8"/>
      <c r="D290" s="21">
        <v>92040</v>
      </c>
      <c r="E290" s="21">
        <v>799900</v>
      </c>
      <c r="F290" s="15">
        <f t="shared" si="12"/>
        <v>139900.79999999999</v>
      </c>
      <c r="G290" s="15">
        <f t="shared" si="13"/>
        <v>1215848</v>
      </c>
    </row>
    <row r="291" spans="1:7" ht="15">
      <c r="A291" s="3" t="s">
        <v>252</v>
      </c>
      <c r="B291" s="18"/>
      <c r="C291" s="8"/>
      <c r="D291" s="7"/>
      <c r="E291" s="7"/>
      <c r="F291" s="15"/>
      <c r="G291" s="15"/>
    </row>
    <row r="292" spans="1:7" ht="15">
      <c r="A292" s="3" t="s">
        <v>253</v>
      </c>
      <c r="B292" s="18">
        <v>2431</v>
      </c>
      <c r="C292" s="8"/>
      <c r="D292" s="21">
        <v>1724000</v>
      </c>
      <c r="E292" s="21">
        <v>12840000</v>
      </c>
      <c r="F292" s="15">
        <f t="shared" si="12"/>
        <v>2620480</v>
      </c>
      <c r="G292" s="15">
        <f t="shared" si="13"/>
        <v>19516800</v>
      </c>
    </row>
    <row r="293" spans="1:7" ht="15">
      <c r="A293" s="3" t="s">
        <v>254</v>
      </c>
      <c r="B293" s="18">
        <v>400</v>
      </c>
      <c r="C293" s="8"/>
      <c r="D293" s="21">
        <v>277900</v>
      </c>
      <c r="E293" s="21">
        <v>2070000</v>
      </c>
      <c r="F293" s="15">
        <f t="shared" si="12"/>
        <v>422408</v>
      </c>
      <c r="G293" s="15">
        <f t="shared" si="13"/>
        <v>3146400</v>
      </c>
    </row>
    <row r="294" spans="1:7">
      <c r="A294" s="2"/>
      <c r="B294" s="18"/>
      <c r="C294" s="8"/>
      <c r="D294" s="7"/>
      <c r="E294" s="7"/>
      <c r="F294" s="15"/>
      <c r="G294" s="15"/>
    </row>
    <row r="295" spans="1:7" ht="15">
      <c r="A295" s="3" t="s">
        <v>255</v>
      </c>
      <c r="B295" s="18"/>
      <c r="C295" s="8"/>
      <c r="D295" s="7"/>
      <c r="E295" s="7"/>
      <c r="F295" s="15"/>
      <c r="G295" s="15"/>
    </row>
    <row r="296" spans="1:7" ht="15">
      <c r="A296" s="3" t="s">
        <v>256</v>
      </c>
      <c r="B296" s="18"/>
      <c r="C296" s="8"/>
      <c r="D296" s="7"/>
      <c r="E296" s="7"/>
      <c r="F296" s="15"/>
      <c r="G296" s="15"/>
    </row>
    <row r="297" spans="1:7">
      <c r="A297" s="2"/>
      <c r="B297" s="18"/>
      <c r="C297" s="8"/>
      <c r="D297" s="7"/>
      <c r="E297" s="7"/>
      <c r="F297" s="15"/>
      <c r="G297" s="15"/>
    </row>
    <row r="298" spans="1:7" ht="15">
      <c r="A298" s="3" t="s">
        <v>257</v>
      </c>
      <c r="B298" s="18"/>
      <c r="C298" s="8"/>
      <c r="D298" s="7"/>
      <c r="E298" s="7"/>
      <c r="F298" s="15"/>
      <c r="G298" s="15"/>
    </row>
    <row r="299" spans="1:7" ht="15">
      <c r="A299" s="3" t="s">
        <v>12</v>
      </c>
      <c r="B299" s="18"/>
      <c r="C299" s="8"/>
      <c r="D299" s="7"/>
      <c r="E299" s="7"/>
      <c r="F299" s="15"/>
      <c r="G299" s="15"/>
    </row>
    <row r="300" spans="1:7" ht="15">
      <c r="A300" s="3" t="s">
        <v>258</v>
      </c>
      <c r="B300" s="18">
        <v>400</v>
      </c>
      <c r="C300" s="8"/>
      <c r="D300" s="21">
        <v>279700</v>
      </c>
      <c r="E300" s="21">
        <v>2876000</v>
      </c>
      <c r="F300" s="15">
        <f t="shared" si="12"/>
        <v>425144</v>
      </c>
      <c r="G300" s="15">
        <f t="shared" si="13"/>
        <v>4371520</v>
      </c>
    </row>
    <row r="301" spans="1:7" ht="15">
      <c r="A301" s="3" t="s">
        <v>259</v>
      </c>
      <c r="B301" s="18">
        <v>1000</v>
      </c>
      <c r="C301" s="8"/>
      <c r="D301" s="7">
        <f>D300*2.5</f>
        <v>699250</v>
      </c>
      <c r="E301" s="7">
        <f>E300*2.5</f>
        <v>7190000</v>
      </c>
      <c r="F301" s="15">
        <f t="shared" si="12"/>
        <v>1062860</v>
      </c>
      <c r="G301" s="15">
        <f t="shared" si="13"/>
        <v>10928800</v>
      </c>
    </row>
    <row r="302" spans="1:7" ht="15">
      <c r="A302" s="3" t="s">
        <v>260</v>
      </c>
      <c r="B302" s="18">
        <v>8</v>
      </c>
      <c r="C302" s="8"/>
      <c r="D302" s="7">
        <v>5114</v>
      </c>
      <c r="E302" s="21">
        <v>51260</v>
      </c>
      <c r="F302" s="15">
        <f t="shared" si="12"/>
        <v>7773.28</v>
      </c>
      <c r="G302" s="15">
        <f t="shared" si="13"/>
        <v>77915.199999999997</v>
      </c>
    </row>
    <row r="303" spans="1:7" ht="15">
      <c r="A303" s="3" t="s">
        <v>261</v>
      </c>
      <c r="B303" s="18">
        <f>B5</f>
        <v>0.05</v>
      </c>
      <c r="C303" s="8">
        <f>3*B5</f>
        <v>0.15000000000000002</v>
      </c>
      <c r="D303" s="21">
        <v>69.92</v>
      </c>
      <c r="E303" s="21">
        <v>719</v>
      </c>
      <c r="F303" s="15">
        <f t="shared" si="12"/>
        <v>106.2784</v>
      </c>
      <c r="G303" s="15">
        <f t="shared" si="13"/>
        <v>1092.8800000000001</v>
      </c>
    </row>
    <row r="304" spans="1:7" ht="15">
      <c r="A304" s="3" t="s">
        <v>262</v>
      </c>
      <c r="B304" s="18">
        <v>10</v>
      </c>
      <c r="C304" s="8"/>
      <c r="D304" s="21">
        <v>6992</v>
      </c>
      <c r="E304" s="21">
        <v>71900</v>
      </c>
      <c r="F304" s="15">
        <f t="shared" si="12"/>
        <v>10627.84</v>
      </c>
      <c r="G304" s="15">
        <f t="shared" si="13"/>
        <v>109288</v>
      </c>
    </row>
    <row r="305" spans="1:8" ht="15">
      <c r="A305" s="3" t="s">
        <v>263</v>
      </c>
      <c r="B305" s="18">
        <f>4*B5</f>
        <v>0.2</v>
      </c>
      <c r="C305" s="8"/>
      <c r="D305" s="21">
        <v>139.80000000000001</v>
      </c>
      <c r="E305" s="21">
        <v>1438</v>
      </c>
      <c r="F305" s="15">
        <f t="shared" si="12"/>
        <v>212.49600000000001</v>
      </c>
      <c r="G305" s="15">
        <f t="shared" si="13"/>
        <v>2185.7600000000002</v>
      </c>
    </row>
    <row r="306" spans="1:8" ht="15">
      <c r="A306" s="3" t="s">
        <v>264</v>
      </c>
      <c r="B306" s="18">
        <f>B7</f>
        <v>4.1666666666666666E-3</v>
      </c>
      <c r="C306" s="8"/>
      <c r="D306" s="21">
        <v>2.8</v>
      </c>
      <c r="E306" s="21">
        <v>28.76</v>
      </c>
      <c r="F306" s="15">
        <f t="shared" si="12"/>
        <v>4.2559999999999993</v>
      </c>
      <c r="G306" s="15">
        <f t="shared" si="13"/>
        <v>43.715200000000003</v>
      </c>
    </row>
    <row r="307" spans="1:8" ht="15">
      <c r="A307" s="3" t="s">
        <v>265</v>
      </c>
      <c r="B307" s="18">
        <f>B7</f>
        <v>4.1666666666666666E-3</v>
      </c>
      <c r="C307" s="8"/>
      <c r="D307" s="21">
        <v>2.8</v>
      </c>
      <c r="E307" s="21">
        <v>28.76</v>
      </c>
      <c r="F307" s="15">
        <f t="shared" si="12"/>
        <v>4.2559999999999993</v>
      </c>
      <c r="G307" s="15">
        <f t="shared" si="13"/>
        <v>43.715200000000003</v>
      </c>
    </row>
    <row r="308" spans="1:8" ht="15">
      <c r="A308" s="3" t="s">
        <v>266</v>
      </c>
      <c r="B308" s="18"/>
      <c r="C308" s="8"/>
      <c r="D308" s="7"/>
      <c r="E308" s="7"/>
      <c r="F308" s="15"/>
      <c r="G308" s="15"/>
    </row>
    <row r="309" spans="1:8" ht="15">
      <c r="A309" s="3" t="s">
        <v>267</v>
      </c>
      <c r="B309" s="18">
        <f>36*B5</f>
        <v>1.8</v>
      </c>
      <c r="C309" s="8"/>
      <c r="D309" s="21">
        <v>1573</v>
      </c>
      <c r="E309" s="21">
        <v>25740</v>
      </c>
      <c r="F309" s="15">
        <f t="shared" si="12"/>
        <v>2390.96</v>
      </c>
      <c r="G309" s="15">
        <f t="shared" si="13"/>
        <v>39124.800000000003</v>
      </c>
    </row>
    <row r="310" spans="1:8">
      <c r="A310" s="2"/>
      <c r="B310" s="18"/>
      <c r="C310" s="8"/>
      <c r="D310" s="7"/>
      <c r="E310" s="7"/>
      <c r="F310" s="15"/>
      <c r="G310" s="15"/>
    </row>
    <row r="311" spans="1:8" ht="15">
      <c r="A311" s="3" t="s">
        <v>268</v>
      </c>
      <c r="B311" s="18"/>
      <c r="C311" s="8"/>
      <c r="D311" s="7"/>
      <c r="E311" s="7"/>
      <c r="F311" s="15"/>
      <c r="G311" s="15"/>
    </row>
    <row r="312" spans="1:8" ht="15">
      <c r="A312" s="3" t="s">
        <v>431</v>
      </c>
      <c r="B312" s="18"/>
      <c r="C312" s="8"/>
      <c r="D312" s="7"/>
      <c r="E312" s="7"/>
      <c r="F312" s="15"/>
      <c r="G312" s="15"/>
      <c r="H312" t="s">
        <v>442</v>
      </c>
    </row>
    <row r="313" spans="1:8" ht="15">
      <c r="A313" s="3" t="s">
        <v>432</v>
      </c>
      <c r="B313" s="18">
        <f>4*B7</f>
        <v>1.6666666666666666E-2</v>
      </c>
      <c r="C313" s="8"/>
      <c r="D313" s="21">
        <v>10.68</v>
      </c>
      <c r="E313" s="21">
        <v>217.9</v>
      </c>
      <c r="F313" s="15">
        <f t="shared" si="12"/>
        <v>16.233599999999999</v>
      </c>
      <c r="G313" s="15">
        <f t="shared" si="13"/>
        <v>331.20800000000003</v>
      </c>
      <c r="H313" s="18">
        <f>SUM(B313:B321)+B323</f>
        <v>0.12187500000000001</v>
      </c>
    </row>
    <row r="314" spans="1:8" ht="15">
      <c r="A314" s="3" t="s">
        <v>430</v>
      </c>
      <c r="B314" s="18">
        <f>2*B7</f>
        <v>8.3333333333333332E-3</v>
      </c>
      <c r="C314" s="8"/>
      <c r="D314" s="7">
        <f>D313/2</f>
        <v>5.34</v>
      </c>
      <c r="E314" s="7">
        <f>E313/2</f>
        <v>108.95</v>
      </c>
      <c r="F314" s="15">
        <f t="shared" si="12"/>
        <v>8.1167999999999996</v>
      </c>
      <c r="G314" s="15">
        <f t="shared" si="13"/>
        <v>165.60400000000001</v>
      </c>
      <c r="H314" s="16">
        <v>76.67</v>
      </c>
    </row>
    <row r="315" spans="1:8" ht="15">
      <c r="A315" s="3" t="s">
        <v>429</v>
      </c>
      <c r="B315" s="18">
        <f>1.25*B7</f>
        <v>5.208333333333333E-3</v>
      </c>
      <c r="C315" s="8"/>
      <c r="D315" s="21">
        <v>3.14</v>
      </c>
      <c r="E315" s="21">
        <v>64.08</v>
      </c>
      <c r="F315" s="15">
        <f t="shared" si="12"/>
        <v>4.7728000000000002</v>
      </c>
      <c r="G315" s="15">
        <f t="shared" si="13"/>
        <v>97.401600000000002</v>
      </c>
    </row>
    <row r="316" spans="1:8" ht="15">
      <c r="A316" s="3" t="s">
        <v>427</v>
      </c>
      <c r="B316" s="18">
        <f>5.5*B7</f>
        <v>2.2916666666666665E-2</v>
      </c>
      <c r="C316" s="8"/>
      <c r="D316" s="21">
        <v>14.46</v>
      </c>
      <c r="E316" s="21">
        <v>294.8</v>
      </c>
      <c r="F316" s="15">
        <f t="shared" si="12"/>
        <v>21.979200000000002</v>
      </c>
      <c r="G316" s="15">
        <f t="shared" si="13"/>
        <v>448.096</v>
      </c>
    </row>
    <row r="317" spans="1:8" ht="15">
      <c r="A317" s="3" t="s">
        <v>428</v>
      </c>
      <c r="B317" s="18">
        <f>0.25*B7</f>
        <v>1.0416666666666667E-3</v>
      </c>
      <c r="C317" s="8"/>
      <c r="D317" s="21">
        <v>0.63</v>
      </c>
      <c r="E317" s="21">
        <v>12.82</v>
      </c>
      <c r="F317" s="15">
        <f>D317*1.52</f>
        <v>0.95760000000000001</v>
      </c>
      <c r="G317" s="15">
        <f>E317*1.52</f>
        <v>19.4864</v>
      </c>
    </row>
    <row r="318" spans="1:8" ht="15">
      <c r="A318" s="3" t="s">
        <v>426</v>
      </c>
      <c r="B318" s="18">
        <f>0.25*B7</f>
        <v>1.0416666666666667E-3</v>
      </c>
      <c r="C318" s="8"/>
      <c r="D318" s="21">
        <v>0.63</v>
      </c>
      <c r="E318" s="21">
        <v>12.82</v>
      </c>
      <c r="F318" s="15">
        <f>D318*1.52</f>
        <v>0.95760000000000001</v>
      </c>
      <c r="G318" s="15">
        <f>E318*1.52</f>
        <v>19.4864</v>
      </c>
    </row>
    <row r="319" spans="1:8" ht="15">
      <c r="A319" s="3" t="s">
        <v>425</v>
      </c>
      <c r="B319" s="18">
        <f>2*B7</f>
        <v>8.3333333333333332E-3</v>
      </c>
      <c r="C319" s="8"/>
      <c r="D319" s="7">
        <f>D318/2</f>
        <v>0.315</v>
      </c>
      <c r="E319" s="7">
        <f>E318/2</f>
        <v>6.41</v>
      </c>
      <c r="F319" s="15">
        <f t="shared" si="12"/>
        <v>0.4788</v>
      </c>
      <c r="G319" s="15">
        <f t="shared" si="13"/>
        <v>9.7431999999999999</v>
      </c>
    </row>
    <row r="320" spans="1:8" ht="15">
      <c r="A320" s="3" t="s">
        <v>424</v>
      </c>
      <c r="B320" s="18">
        <f>2*B7</f>
        <v>8.3333333333333332E-3</v>
      </c>
      <c r="C320" s="8"/>
      <c r="D320" s="7">
        <f>D319/2</f>
        <v>0.1575</v>
      </c>
      <c r="E320" s="7">
        <f>E319/2</f>
        <v>3.2050000000000001</v>
      </c>
      <c r="F320" s="15">
        <f t="shared" si="12"/>
        <v>0.2394</v>
      </c>
      <c r="G320" s="15">
        <f t="shared" si="13"/>
        <v>4.8715999999999999</v>
      </c>
    </row>
    <row r="321" spans="1:7" ht="15">
      <c r="A321" s="3" t="s">
        <v>423</v>
      </c>
      <c r="B321" s="18">
        <f>10*B7</f>
        <v>4.1666666666666664E-2</v>
      </c>
      <c r="C321" s="8"/>
      <c r="D321" s="21">
        <v>26.4</v>
      </c>
      <c r="E321" s="21">
        <v>538.29999999999995</v>
      </c>
      <c r="F321" s="15">
        <f t="shared" si="12"/>
        <v>40.128</v>
      </c>
      <c r="G321" s="15">
        <f t="shared" si="13"/>
        <v>818.21599999999989</v>
      </c>
    </row>
    <row r="322" spans="1:7" ht="15">
      <c r="A322" s="3" t="s">
        <v>422</v>
      </c>
      <c r="B322" s="18">
        <f>B7</f>
        <v>4.1666666666666666E-3</v>
      </c>
      <c r="C322" s="8"/>
      <c r="D322" s="21">
        <v>2.5099999999999998</v>
      </c>
      <c r="E322" s="21">
        <v>51.26</v>
      </c>
      <c r="F322" s="15">
        <f t="shared" si="12"/>
        <v>3.8151999999999999</v>
      </c>
      <c r="G322" s="15">
        <f t="shared" si="13"/>
        <v>77.915199999999999</v>
      </c>
    </row>
    <row r="323" spans="1:7" ht="15">
      <c r="A323" s="3" t="s">
        <v>420</v>
      </c>
      <c r="B323" s="18">
        <f>2*B7</f>
        <v>8.3333333333333332E-3</v>
      </c>
      <c r="C323" s="8"/>
      <c r="D323" s="7">
        <v>5.34</v>
      </c>
      <c r="E323" s="7">
        <v>108.95</v>
      </c>
      <c r="F323" s="15">
        <f t="shared" si="12"/>
        <v>8.1167999999999996</v>
      </c>
      <c r="G323" s="15">
        <f t="shared" si="13"/>
        <v>165.60400000000001</v>
      </c>
    </row>
    <row r="324" spans="1:7" ht="15">
      <c r="A324" s="3" t="s">
        <v>421</v>
      </c>
      <c r="B324" s="18">
        <f>1*B7</f>
        <v>4.1666666666666666E-3</v>
      </c>
      <c r="C324" s="8"/>
      <c r="D324" s="21">
        <v>2.5099999999999998</v>
      </c>
      <c r="E324" s="21">
        <v>51.26</v>
      </c>
      <c r="F324" s="15">
        <f t="shared" si="12"/>
        <v>3.8151999999999999</v>
      </c>
      <c r="G324" s="15">
        <f t="shared" si="13"/>
        <v>77.915199999999999</v>
      </c>
    </row>
    <row r="325" spans="1:7" ht="15">
      <c r="A325" s="3" t="s">
        <v>443</v>
      </c>
      <c r="B325" s="18">
        <v>0.12187500000000001</v>
      </c>
      <c r="C325" s="8"/>
      <c r="D325" s="21">
        <v>76.67</v>
      </c>
      <c r="E325" s="21">
        <v>1564</v>
      </c>
      <c r="F325" s="15">
        <f t="shared" ref="F325" si="14">D325*1.52</f>
        <v>116.53840000000001</v>
      </c>
      <c r="G325" s="15">
        <f t="shared" ref="G325" si="15">E325*1.52</f>
        <v>2377.2800000000002</v>
      </c>
    </row>
    <row r="326" spans="1:7" ht="15">
      <c r="A326" s="3" t="s">
        <v>269</v>
      </c>
      <c r="B326" s="18"/>
      <c r="C326" s="8"/>
      <c r="D326" s="7"/>
      <c r="E326" s="7"/>
      <c r="F326" s="15">
        <f t="shared" si="12"/>
        <v>0</v>
      </c>
      <c r="G326" s="15">
        <f t="shared" si="13"/>
        <v>0</v>
      </c>
    </row>
    <row r="327" spans="1:7" ht="15">
      <c r="A327" s="3" t="s">
        <v>12</v>
      </c>
      <c r="B327" s="18"/>
      <c r="C327" s="8"/>
      <c r="D327" s="7"/>
      <c r="E327" s="7"/>
      <c r="F327" s="15">
        <f t="shared" si="12"/>
        <v>0</v>
      </c>
      <c r="G327" s="15">
        <f t="shared" si="13"/>
        <v>0</v>
      </c>
    </row>
    <row r="328" spans="1:7" ht="15">
      <c r="A328" s="3" t="s">
        <v>270</v>
      </c>
      <c r="B328" s="18">
        <f>16*B5</f>
        <v>0.8</v>
      </c>
      <c r="C328" s="8"/>
      <c r="D328" s="21">
        <v>549.1</v>
      </c>
      <c r="E328" s="21">
        <v>5348</v>
      </c>
      <c r="F328" s="15">
        <f t="shared" si="12"/>
        <v>834.63200000000006</v>
      </c>
      <c r="G328" s="15">
        <f t="shared" si="13"/>
        <v>8128.96</v>
      </c>
    </row>
    <row r="329" spans="1:7" ht="15">
      <c r="A329" s="3" t="s">
        <v>271</v>
      </c>
      <c r="B329" s="18">
        <v>15</v>
      </c>
      <c r="C329" s="8"/>
      <c r="D329" s="21">
        <v>10290</v>
      </c>
      <c r="E329" s="21">
        <v>100300</v>
      </c>
      <c r="F329" s="15">
        <f t="shared" si="12"/>
        <v>15640.800000000001</v>
      </c>
      <c r="G329" s="15">
        <f t="shared" si="13"/>
        <v>152456</v>
      </c>
    </row>
    <row r="330" spans="1:7" ht="15">
      <c r="A330" s="3" t="s">
        <v>272</v>
      </c>
      <c r="B330" s="18">
        <f>26*B5+8*B7</f>
        <v>1.3333333333333335</v>
      </c>
      <c r="C330" s="8"/>
      <c r="D330" s="21">
        <v>914.9</v>
      </c>
      <c r="E330" s="21">
        <v>8911</v>
      </c>
      <c r="F330" s="15">
        <f t="shared" si="12"/>
        <v>1390.6479999999999</v>
      </c>
      <c r="G330" s="15">
        <f t="shared" si="13"/>
        <v>13544.72</v>
      </c>
    </row>
    <row r="331" spans="1:7" ht="15">
      <c r="A331" s="3" t="s">
        <v>273</v>
      </c>
      <c r="B331" s="18">
        <f>70*B5</f>
        <v>3.5</v>
      </c>
      <c r="C331" s="8"/>
      <c r="D331" s="21">
        <v>2402</v>
      </c>
      <c r="E331" s="21">
        <v>23400</v>
      </c>
      <c r="F331" s="15">
        <f t="shared" si="12"/>
        <v>3651.04</v>
      </c>
      <c r="G331" s="15">
        <f t="shared" si="13"/>
        <v>35568</v>
      </c>
    </row>
    <row r="332" spans="1:7" ht="15">
      <c r="A332" s="3" t="s">
        <v>274</v>
      </c>
      <c r="B332" s="18">
        <f>100*B5</f>
        <v>5</v>
      </c>
      <c r="C332" s="8"/>
      <c r="D332" s="21">
        <v>3432</v>
      </c>
      <c r="E332" s="21">
        <v>33430</v>
      </c>
      <c r="F332" s="15">
        <f t="shared" si="12"/>
        <v>5216.6400000000003</v>
      </c>
      <c r="G332" s="15">
        <f t="shared" si="13"/>
        <v>50813.599999999999</v>
      </c>
    </row>
    <row r="333" spans="1:7" ht="15">
      <c r="A333" s="3" t="s">
        <v>275</v>
      </c>
      <c r="B333" s="18"/>
      <c r="C333" s="8"/>
      <c r="D333" s="7"/>
      <c r="E333" s="7"/>
      <c r="F333" s="15">
        <f t="shared" ref="F333:F396" si="16">D333*1.52</f>
        <v>0</v>
      </c>
      <c r="G333" s="15">
        <f t="shared" si="13"/>
        <v>0</v>
      </c>
    </row>
    <row r="334" spans="1:7" ht="15">
      <c r="A334" s="3" t="s">
        <v>276</v>
      </c>
      <c r="B334" s="18">
        <f>2*B5</f>
        <v>0.1</v>
      </c>
      <c r="C334" s="8"/>
      <c r="D334" s="21">
        <v>69.92</v>
      </c>
      <c r="E334" s="21">
        <v>719</v>
      </c>
      <c r="F334" s="15">
        <f t="shared" si="16"/>
        <v>106.2784</v>
      </c>
      <c r="G334" s="15">
        <f t="shared" si="13"/>
        <v>1092.8800000000001</v>
      </c>
    </row>
    <row r="335" spans="1:7" ht="15">
      <c r="A335" s="3" t="s">
        <v>277</v>
      </c>
      <c r="B335" s="18">
        <f>B5</f>
        <v>0.05</v>
      </c>
      <c r="C335" s="8"/>
      <c r="D335" s="7">
        <f>D334/2</f>
        <v>34.96</v>
      </c>
      <c r="E335" s="7">
        <f>E334/2</f>
        <v>359.5</v>
      </c>
      <c r="F335" s="15">
        <f t="shared" si="16"/>
        <v>53.139200000000002</v>
      </c>
      <c r="G335" s="15">
        <f t="shared" ref="G335:G398" si="17">E335*1.52</f>
        <v>546.44000000000005</v>
      </c>
    </row>
    <row r="336" spans="1:7" ht="15">
      <c r="A336" s="3" t="s">
        <v>278</v>
      </c>
      <c r="B336" s="18"/>
      <c r="C336" s="8"/>
      <c r="D336" s="7"/>
      <c r="E336" s="7"/>
      <c r="F336" s="15"/>
      <c r="G336" s="15"/>
    </row>
    <row r="337" spans="1:7" ht="15">
      <c r="A337" s="3" t="s">
        <v>279</v>
      </c>
      <c r="B337" s="18"/>
      <c r="C337" s="8"/>
      <c r="D337" s="7"/>
      <c r="E337" s="7"/>
      <c r="F337" s="15"/>
      <c r="G337" s="15"/>
    </row>
    <row r="338" spans="1:7" ht="15">
      <c r="A338" s="3" t="s">
        <v>280</v>
      </c>
      <c r="B338" s="18">
        <f>20*B5</f>
        <v>1</v>
      </c>
      <c r="C338" s="8"/>
      <c r="D338" s="21">
        <v>699.2</v>
      </c>
      <c r="E338" s="21">
        <v>7190</v>
      </c>
      <c r="F338" s="15">
        <f t="shared" si="16"/>
        <v>1062.7840000000001</v>
      </c>
      <c r="G338" s="15">
        <f t="shared" si="17"/>
        <v>10928.8</v>
      </c>
    </row>
    <row r="339" spans="1:7" ht="15">
      <c r="A339" s="3" t="s">
        <v>281</v>
      </c>
      <c r="B339" s="18">
        <f>3*B5+4*B7</f>
        <v>0.16666666666666669</v>
      </c>
      <c r="C339" s="8"/>
      <c r="D339" s="21">
        <v>116.8</v>
      </c>
      <c r="E339" s="21">
        <v>1201</v>
      </c>
      <c r="F339" s="15">
        <f t="shared" si="16"/>
        <v>177.536</v>
      </c>
      <c r="G339" s="15">
        <f t="shared" si="17"/>
        <v>1825.52</v>
      </c>
    </row>
    <row r="340" spans="1:7" ht="15">
      <c r="A340" s="3" t="s">
        <v>282</v>
      </c>
      <c r="B340" s="18">
        <f>6*B5+8*B7</f>
        <v>0.33333333333333337</v>
      </c>
      <c r="C340" s="8">
        <v>3</v>
      </c>
      <c r="D340" s="21">
        <v>1166</v>
      </c>
      <c r="E340" s="21">
        <v>11990</v>
      </c>
      <c r="F340" s="15">
        <f t="shared" si="16"/>
        <v>1772.32</v>
      </c>
      <c r="G340" s="15">
        <f t="shared" si="17"/>
        <v>18224.8</v>
      </c>
    </row>
    <row r="341" spans="1:7" ht="15">
      <c r="A341" s="3" t="s">
        <v>283</v>
      </c>
      <c r="B341" s="18"/>
      <c r="C341" s="8"/>
      <c r="D341" s="7"/>
      <c r="E341" s="7"/>
      <c r="F341" s="15"/>
      <c r="G341" s="15"/>
    </row>
    <row r="342" spans="1:7" ht="15">
      <c r="A342" s="3" t="s">
        <v>284</v>
      </c>
      <c r="B342" s="18"/>
      <c r="C342" s="8"/>
      <c r="D342" s="7"/>
      <c r="E342" s="7"/>
      <c r="F342" s="15"/>
      <c r="G342" s="15"/>
    </row>
    <row r="343" spans="1:7" ht="15">
      <c r="A343" s="3" t="s">
        <v>285</v>
      </c>
      <c r="B343" s="18">
        <f>3*B5+4*B7</f>
        <v>0.16666666666666669</v>
      </c>
      <c r="C343" s="8">
        <f>20*B5</f>
        <v>1</v>
      </c>
      <c r="D343" s="21">
        <v>407.6</v>
      </c>
      <c r="E343" s="21">
        <v>4192</v>
      </c>
      <c r="F343" s="15">
        <f t="shared" si="16"/>
        <v>619.55200000000002</v>
      </c>
      <c r="G343" s="15">
        <f t="shared" si="17"/>
        <v>6371.84</v>
      </c>
    </row>
    <row r="344" spans="1:7" ht="15">
      <c r="A344" s="3" t="s">
        <v>286</v>
      </c>
      <c r="B344" s="18">
        <f>6*B5+8*B7</f>
        <v>0.33333333333333337</v>
      </c>
      <c r="C344" s="8"/>
      <c r="D344" s="21">
        <v>235.8</v>
      </c>
      <c r="E344" s="21">
        <v>1834</v>
      </c>
      <c r="F344" s="15">
        <f t="shared" si="16"/>
        <v>358.416</v>
      </c>
      <c r="G344" s="15">
        <f t="shared" si="17"/>
        <v>2787.68</v>
      </c>
    </row>
    <row r="345" spans="1:7" ht="15">
      <c r="A345" s="3" t="s">
        <v>287</v>
      </c>
      <c r="B345" s="18"/>
      <c r="C345" s="8"/>
      <c r="D345" s="7"/>
      <c r="E345" s="7"/>
      <c r="F345" s="15"/>
      <c r="G345" s="15"/>
    </row>
    <row r="346" spans="1:7" ht="15">
      <c r="A346" s="3" t="s">
        <v>288</v>
      </c>
      <c r="B346" s="18">
        <f>1.5*B7</f>
        <v>6.2500000000000003E-3</v>
      </c>
      <c r="C346" s="8"/>
      <c r="D346" s="21">
        <v>5.2</v>
      </c>
      <c r="E346" s="21">
        <v>76.11</v>
      </c>
      <c r="F346" s="15">
        <f t="shared" si="16"/>
        <v>7.9040000000000008</v>
      </c>
      <c r="G346" s="15">
        <f t="shared" si="17"/>
        <v>115.6872</v>
      </c>
    </row>
    <row r="347" spans="1:7" ht="15">
      <c r="A347" s="3" t="s">
        <v>289</v>
      </c>
      <c r="B347" s="18">
        <f>2.25*B7</f>
        <v>9.3749999999999997E-3</v>
      </c>
      <c r="C347" s="8"/>
      <c r="D347" s="21">
        <v>7.81</v>
      </c>
      <c r="E347" s="21">
        <v>114.2</v>
      </c>
      <c r="F347" s="15">
        <f t="shared" si="16"/>
        <v>11.8712</v>
      </c>
      <c r="G347" s="15">
        <f t="shared" si="17"/>
        <v>173.584</v>
      </c>
    </row>
    <row r="348" spans="1:7" ht="15">
      <c r="A348" s="3" t="s">
        <v>287</v>
      </c>
      <c r="B348" s="18"/>
      <c r="C348" s="8"/>
      <c r="D348" s="7"/>
      <c r="E348" s="7"/>
      <c r="F348" s="15"/>
      <c r="G348" s="15"/>
    </row>
    <row r="349" spans="1:7" ht="15">
      <c r="A349" s="3" t="s">
        <v>290</v>
      </c>
      <c r="B349" s="18">
        <f>1.5*B7</f>
        <v>6.2500000000000003E-3</v>
      </c>
      <c r="C349" s="8"/>
      <c r="D349" s="21">
        <v>4.25</v>
      </c>
      <c r="E349" s="21">
        <v>33.049999999999997</v>
      </c>
      <c r="F349" s="15">
        <f t="shared" si="16"/>
        <v>6.46</v>
      </c>
      <c r="G349" s="15">
        <f t="shared" si="17"/>
        <v>50.235999999999997</v>
      </c>
    </row>
    <row r="350" spans="1:7" ht="15">
      <c r="A350" s="3" t="s">
        <v>291</v>
      </c>
      <c r="B350" s="18">
        <f>6.5*B7</f>
        <v>2.7083333333333334E-2</v>
      </c>
      <c r="C350" s="8"/>
      <c r="D350" s="21">
        <v>19.12</v>
      </c>
      <c r="E350" s="21">
        <v>166.1</v>
      </c>
      <c r="F350" s="15">
        <f t="shared" si="16"/>
        <v>29.0624</v>
      </c>
      <c r="G350" s="15">
        <f t="shared" si="17"/>
        <v>252.47200000000001</v>
      </c>
    </row>
    <row r="351" spans="1:7" ht="15">
      <c r="A351" s="3" t="s">
        <v>292</v>
      </c>
      <c r="B351" s="18">
        <f>4*B7</f>
        <v>1.6666666666666666E-2</v>
      </c>
      <c r="C351" s="8"/>
      <c r="D351" s="21">
        <v>12.04</v>
      </c>
      <c r="E351" s="21">
        <v>96</v>
      </c>
      <c r="F351" s="15">
        <f t="shared" si="16"/>
        <v>18.300799999999999</v>
      </c>
      <c r="G351" s="15">
        <f t="shared" si="17"/>
        <v>145.92000000000002</v>
      </c>
    </row>
    <row r="352" spans="1:7" ht="15">
      <c r="A352" s="3" t="s">
        <v>293</v>
      </c>
      <c r="B352" s="18">
        <f>3*B7</f>
        <v>1.2500000000000001E-2</v>
      </c>
      <c r="C352" s="8"/>
      <c r="D352" s="21">
        <v>9.1999999999999993</v>
      </c>
      <c r="E352" s="21">
        <v>73.41</v>
      </c>
      <c r="F352" s="15">
        <f t="shared" si="16"/>
        <v>13.983999999999998</v>
      </c>
      <c r="G352" s="15">
        <f t="shared" si="17"/>
        <v>111.58319999999999</v>
      </c>
    </row>
    <row r="353" spans="1:7" ht="15">
      <c r="A353" s="3" t="s">
        <v>294</v>
      </c>
      <c r="B353" s="18">
        <f>4*B7</f>
        <v>1.6666666666666666E-2</v>
      </c>
      <c r="C353" s="8"/>
      <c r="D353" s="21">
        <v>12.04</v>
      </c>
      <c r="E353" s="21">
        <v>96</v>
      </c>
      <c r="F353" s="15">
        <f t="shared" si="16"/>
        <v>18.300799999999999</v>
      </c>
      <c r="G353" s="15">
        <f t="shared" si="17"/>
        <v>145.92000000000002</v>
      </c>
    </row>
    <row r="354" spans="1:7" ht="15">
      <c r="A354" s="3" t="s">
        <v>295</v>
      </c>
      <c r="B354" s="18">
        <f>B5</f>
        <v>0.05</v>
      </c>
      <c r="C354" s="8"/>
      <c r="D354" s="21">
        <v>35.4</v>
      </c>
      <c r="E354" s="21">
        <v>282.39999999999998</v>
      </c>
      <c r="F354" s="15">
        <f t="shared" si="16"/>
        <v>53.808</v>
      </c>
      <c r="G354" s="15">
        <f t="shared" si="17"/>
        <v>429.24799999999999</v>
      </c>
    </row>
    <row r="355" spans="1:7" ht="15">
      <c r="A355" s="3" t="s">
        <v>296</v>
      </c>
      <c r="B355" s="18">
        <f>4*B7</f>
        <v>1.6666666666666666E-2</v>
      </c>
      <c r="C355" s="8"/>
      <c r="D355" s="21">
        <v>12.04</v>
      </c>
      <c r="E355" s="21">
        <v>96</v>
      </c>
      <c r="F355" s="15">
        <f t="shared" si="16"/>
        <v>18.300799999999999</v>
      </c>
      <c r="G355" s="15">
        <f t="shared" si="17"/>
        <v>145.92000000000002</v>
      </c>
    </row>
    <row r="356" spans="1:7" ht="15">
      <c r="A356" s="3" t="s">
        <v>297</v>
      </c>
      <c r="B356" s="18">
        <f>2*B7</f>
        <v>8.3333333333333332E-3</v>
      </c>
      <c r="C356" s="8"/>
      <c r="D356" s="7">
        <f>D355/2</f>
        <v>6.02</v>
      </c>
      <c r="E356" s="7">
        <f>E355/2</f>
        <v>48</v>
      </c>
      <c r="F356" s="15">
        <f t="shared" si="16"/>
        <v>9.1503999999999994</v>
      </c>
      <c r="G356" s="15">
        <f t="shared" si="17"/>
        <v>72.960000000000008</v>
      </c>
    </row>
    <row r="357" spans="1:7" ht="15">
      <c r="A357" s="3" t="s">
        <v>298</v>
      </c>
      <c r="B357" s="18">
        <f>4*B7</f>
        <v>1.6666666666666666E-2</v>
      </c>
      <c r="C357" s="8"/>
      <c r="D357" s="21">
        <v>12.04</v>
      </c>
      <c r="E357" s="21">
        <v>96</v>
      </c>
      <c r="F357" s="15">
        <f t="shared" si="16"/>
        <v>18.300799999999999</v>
      </c>
      <c r="G357" s="15">
        <f t="shared" si="17"/>
        <v>145.92000000000002</v>
      </c>
    </row>
    <row r="358" spans="1:7" ht="15">
      <c r="A358" s="3" t="s">
        <v>299</v>
      </c>
      <c r="B358" s="18">
        <f>4*B7</f>
        <v>1.6666666666666666E-2</v>
      </c>
      <c r="C358" s="8"/>
      <c r="D358" s="21">
        <v>12.04</v>
      </c>
      <c r="E358" s="21">
        <v>96</v>
      </c>
      <c r="F358" s="15">
        <f t="shared" si="16"/>
        <v>18.300799999999999</v>
      </c>
      <c r="G358" s="15">
        <f t="shared" si="17"/>
        <v>145.92000000000002</v>
      </c>
    </row>
    <row r="359" spans="1:7" ht="15">
      <c r="A359" s="3" t="s">
        <v>300</v>
      </c>
      <c r="B359" s="18">
        <f>5*B5+8*B7</f>
        <v>0.28333333333333333</v>
      </c>
      <c r="C359" s="8"/>
      <c r="D359" s="21">
        <v>170.2</v>
      </c>
      <c r="E359" s="21">
        <v>1983</v>
      </c>
      <c r="F359" s="15">
        <f t="shared" si="16"/>
        <v>258.70400000000001</v>
      </c>
      <c r="G359" s="15">
        <f t="shared" si="17"/>
        <v>3014.16</v>
      </c>
    </row>
    <row r="360" spans="1:7" ht="15">
      <c r="A360" s="3" t="s">
        <v>301</v>
      </c>
      <c r="B360" s="18"/>
      <c r="C360" s="8"/>
      <c r="D360" s="7"/>
      <c r="E360" s="7"/>
      <c r="F360" s="15">
        <f t="shared" si="16"/>
        <v>0</v>
      </c>
      <c r="G360" s="15">
        <f t="shared" si="17"/>
        <v>0</v>
      </c>
    </row>
    <row r="361" spans="1:7" ht="15">
      <c r="A361" s="3" t="s">
        <v>302</v>
      </c>
      <c r="B361" s="18">
        <f>3+B5</f>
        <v>3.05</v>
      </c>
      <c r="C361" s="8"/>
      <c r="D361" s="21">
        <v>3102</v>
      </c>
      <c r="E361" s="21">
        <v>45450</v>
      </c>
      <c r="F361" s="15">
        <f t="shared" si="16"/>
        <v>4715.04</v>
      </c>
      <c r="G361" s="15">
        <f t="shared" si="17"/>
        <v>69084</v>
      </c>
    </row>
    <row r="362" spans="1:7" ht="15">
      <c r="A362" s="3" t="s">
        <v>303</v>
      </c>
      <c r="B362" s="18"/>
      <c r="C362" s="8"/>
      <c r="D362" s="7"/>
      <c r="E362" s="7"/>
      <c r="F362" s="15">
        <f t="shared" si="16"/>
        <v>0</v>
      </c>
      <c r="G362" s="15">
        <f t="shared" si="17"/>
        <v>0</v>
      </c>
    </row>
    <row r="363" spans="1:7" ht="15">
      <c r="A363" s="3" t="s">
        <v>304</v>
      </c>
      <c r="B363" s="18">
        <f>132+3*B5</f>
        <v>132.15</v>
      </c>
      <c r="C363" s="8"/>
      <c r="D363" s="21">
        <v>85450</v>
      </c>
      <c r="E363" s="21">
        <v>881000</v>
      </c>
      <c r="F363" s="15">
        <f t="shared" si="16"/>
        <v>129884</v>
      </c>
      <c r="G363" s="15">
        <f t="shared" si="17"/>
        <v>1339120</v>
      </c>
    </row>
    <row r="364" spans="1:7" ht="15">
      <c r="A364" s="3" t="s">
        <v>305</v>
      </c>
      <c r="B364" s="18">
        <f>6*B7</f>
        <v>2.5000000000000001E-2</v>
      </c>
      <c r="C364" s="8"/>
      <c r="D364" s="21">
        <v>17.7</v>
      </c>
      <c r="E364" s="21">
        <v>141.19999999999999</v>
      </c>
      <c r="F364" s="15">
        <f t="shared" si="16"/>
        <v>26.904</v>
      </c>
      <c r="G364" s="15">
        <f t="shared" si="17"/>
        <v>214.624</v>
      </c>
    </row>
    <row r="365" spans="1:7" ht="15">
      <c r="A365" s="3" t="s">
        <v>306</v>
      </c>
      <c r="B365" s="18">
        <f>3*B7</f>
        <v>1.2500000000000001E-2</v>
      </c>
      <c r="C365" s="8"/>
      <c r="D365" s="7">
        <f>D364/2</f>
        <v>8.85</v>
      </c>
      <c r="E365" s="7">
        <f>E364/2</f>
        <v>70.599999999999994</v>
      </c>
      <c r="F365" s="15">
        <f t="shared" si="16"/>
        <v>13.452</v>
      </c>
      <c r="G365" s="15">
        <f t="shared" si="17"/>
        <v>107.312</v>
      </c>
    </row>
    <row r="366" spans="1:7" ht="15">
      <c r="A366" s="3" t="s">
        <v>307</v>
      </c>
      <c r="B366" s="18">
        <f>2*B5+2*B7</f>
        <v>0.10833333333333334</v>
      </c>
      <c r="C366" s="8"/>
      <c r="D366" s="21">
        <v>76.47</v>
      </c>
      <c r="E366" s="21">
        <v>609.9</v>
      </c>
      <c r="F366" s="15">
        <f t="shared" si="16"/>
        <v>116.23439999999999</v>
      </c>
      <c r="G366" s="15">
        <f t="shared" si="17"/>
        <v>927.048</v>
      </c>
    </row>
    <row r="367" spans="1:7" ht="15">
      <c r="A367" s="3" t="s">
        <v>308</v>
      </c>
      <c r="B367" s="18">
        <f>6*B7</f>
        <v>2.5000000000000001E-2</v>
      </c>
      <c r="C367" s="8"/>
      <c r="D367" s="21">
        <v>17.7</v>
      </c>
      <c r="E367" s="21">
        <v>141.19999999999999</v>
      </c>
      <c r="F367" s="15">
        <f t="shared" si="16"/>
        <v>26.904</v>
      </c>
      <c r="G367" s="15">
        <f t="shared" si="17"/>
        <v>214.624</v>
      </c>
    </row>
    <row r="368" spans="1:7" ht="15">
      <c r="A368" s="3" t="s">
        <v>309</v>
      </c>
      <c r="B368" s="18">
        <f>6*B7</f>
        <v>2.5000000000000001E-2</v>
      </c>
      <c r="C368" s="8"/>
      <c r="D368" s="21">
        <v>15.04</v>
      </c>
      <c r="E368" s="21">
        <v>175.2</v>
      </c>
      <c r="F368" s="15">
        <f t="shared" si="16"/>
        <v>22.860799999999998</v>
      </c>
      <c r="G368" s="15">
        <f t="shared" si="17"/>
        <v>266.30399999999997</v>
      </c>
    </row>
    <row r="369" spans="1:7" ht="15">
      <c r="A369" s="3" t="s">
        <v>310</v>
      </c>
      <c r="B369" s="18">
        <f>2*B5</f>
        <v>0.1</v>
      </c>
      <c r="C369" s="8"/>
      <c r="D369" s="7">
        <f>D368*4</f>
        <v>60.16</v>
      </c>
      <c r="E369" s="7">
        <f>E368*4</f>
        <v>700.8</v>
      </c>
      <c r="F369" s="15">
        <f t="shared" si="16"/>
        <v>91.44319999999999</v>
      </c>
      <c r="G369" s="15">
        <f t="shared" si="17"/>
        <v>1065.2159999999999</v>
      </c>
    </row>
    <row r="370" spans="1:7" ht="15">
      <c r="A370" s="3" t="s">
        <v>311</v>
      </c>
      <c r="B370" s="18">
        <f>8*B7</f>
        <v>3.3333333333333333E-2</v>
      </c>
      <c r="C370" s="8"/>
      <c r="D370" s="21">
        <v>19.850000000000001</v>
      </c>
      <c r="E370" s="21">
        <v>231.2</v>
      </c>
      <c r="F370" s="15">
        <f t="shared" si="16"/>
        <v>30.172000000000004</v>
      </c>
      <c r="G370" s="15">
        <f t="shared" si="17"/>
        <v>351.42399999999998</v>
      </c>
    </row>
    <row r="371" spans="1:7" ht="15">
      <c r="A371" s="3" t="s">
        <v>312</v>
      </c>
      <c r="B371" s="18">
        <f>2*B5+8*B7</f>
        <v>0.13333333333333333</v>
      </c>
      <c r="C371" s="8"/>
      <c r="D371" s="21">
        <v>79.989999999999995</v>
      </c>
      <c r="E371" s="21">
        <v>931.9</v>
      </c>
      <c r="F371" s="15">
        <f t="shared" si="16"/>
        <v>121.58479999999999</v>
      </c>
      <c r="G371" s="15">
        <f t="shared" si="17"/>
        <v>1416.4880000000001</v>
      </c>
    </row>
    <row r="372" spans="1:7" ht="15">
      <c r="A372" s="3" t="s">
        <v>313</v>
      </c>
      <c r="B372" s="18">
        <f>6*B7</f>
        <v>2.5000000000000001E-2</v>
      </c>
      <c r="C372" s="8"/>
      <c r="D372" s="21">
        <v>15.04</v>
      </c>
      <c r="E372" s="21">
        <v>175.2</v>
      </c>
      <c r="F372" s="15">
        <f t="shared" si="16"/>
        <v>22.860799999999998</v>
      </c>
      <c r="G372" s="15">
        <f t="shared" si="17"/>
        <v>266.30399999999997</v>
      </c>
    </row>
    <row r="373" spans="1:7" ht="15">
      <c r="A373" s="3" t="s">
        <v>314</v>
      </c>
      <c r="B373" s="18">
        <f>B5</f>
        <v>0.05</v>
      </c>
      <c r="C373" s="8"/>
      <c r="D373" s="7">
        <f>D372*2</f>
        <v>30.08</v>
      </c>
      <c r="E373" s="7">
        <f>E372*2</f>
        <v>350.4</v>
      </c>
      <c r="F373" s="15">
        <f t="shared" si="16"/>
        <v>45.721599999999995</v>
      </c>
      <c r="G373" s="15">
        <f t="shared" si="17"/>
        <v>532.60799999999995</v>
      </c>
    </row>
    <row r="374" spans="1:7" ht="15">
      <c r="A374" s="3" t="s">
        <v>315</v>
      </c>
      <c r="B374" s="18">
        <f>8*B7</f>
        <v>3.3333333333333333E-2</v>
      </c>
      <c r="C374" s="8"/>
      <c r="D374" s="21">
        <v>19.850000000000001</v>
      </c>
      <c r="E374" s="21">
        <v>231.2</v>
      </c>
      <c r="F374" s="15">
        <f t="shared" si="16"/>
        <v>30.172000000000004</v>
      </c>
      <c r="G374" s="15">
        <f t="shared" si="17"/>
        <v>351.42399999999998</v>
      </c>
    </row>
    <row r="375" spans="1:7" ht="15">
      <c r="A375" s="3" t="s">
        <v>316</v>
      </c>
      <c r="B375" s="18">
        <f>0.5*B7</f>
        <v>2.0833333333333333E-3</v>
      </c>
      <c r="C375" s="8"/>
      <c r="D375" s="21">
        <v>1.7</v>
      </c>
      <c r="E375" s="21">
        <v>26.31</v>
      </c>
      <c r="F375" s="15">
        <f t="shared" si="16"/>
        <v>2.5840000000000001</v>
      </c>
      <c r="G375" s="15">
        <f t="shared" si="17"/>
        <v>39.991199999999999</v>
      </c>
    </row>
    <row r="376" spans="1:7">
      <c r="A376" s="2"/>
      <c r="B376" s="18"/>
      <c r="C376" s="8"/>
      <c r="D376" s="7"/>
      <c r="E376" s="7"/>
      <c r="F376" s="15"/>
      <c r="G376" s="15"/>
    </row>
    <row r="377" spans="1:7" ht="15">
      <c r="A377" s="3" t="s">
        <v>317</v>
      </c>
      <c r="B377" s="18"/>
      <c r="C377" s="8"/>
      <c r="D377" s="7"/>
      <c r="E377" s="7"/>
      <c r="F377" s="15"/>
      <c r="G377" s="15"/>
    </row>
    <row r="378" spans="1:7" ht="15">
      <c r="A378" s="3" t="s">
        <v>318</v>
      </c>
      <c r="B378" s="18"/>
      <c r="C378" s="8"/>
      <c r="D378" s="7"/>
      <c r="E378" s="7"/>
      <c r="F378" s="15"/>
      <c r="G378" s="15"/>
    </row>
    <row r="379" spans="1:7">
      <c r="A379" s="2"/>
      <c r="B379" s="18"/>
      <c r="C379" s="8"/>
      <c r="D379" s="7"/>
      <c r="E379" s="7"/>
      <c r="F379" s="15"/>
      <c r="G379" s="15"/>
    </row>
    <row r="380" spans="1:7" ht="15">
      <c r="A380" s="3" t="s">
        <v>319</v>
      </c>
      <c r="B380" s="18"/>
      <c r="C380" s="8"/>
      <c r="D380" s="7"/>
      <c r="E380" s="7"/>
      <c r="F380" s="15"/>
      <c r="G380" s="15"/>
    </row>
    <row r="381" spans="1:7" ht="15">
      <c r="A381" s="3" t="s">
        <v>320</v>
      </c>
      <c r="B381" s="18"/>
      <c r="C381" s="8"/>
      <c r="D381" s="7"/>
      <c r="E381" s="7"/>
      <c r="F381" s="15"/>
      <c r="G381" s="15"/>
    </row>
    <row r="382" spans="1:7" ht="15">
      <c r="A382" s="3" t="s">
        <v>321</v>
      </c>
      <c r="B382" s="18"/>
      <c r="C382" s="8"/>
      <c r="D382" s="7"/>
      <c r="E382" s="7"/>
      <c r="F382" s="15"/>
      <c r="G382" s="15"/>
    </row>
    <row r="383" spans="1:7">
      <c r="A383" s="2"/>
      <c r="B383" s="18"/>
      <c r="C383" s="8"/>
      <c r="D383" s="7"/>
      <c r="E383" s="7"/>
      <c r="F383" s="15"/>
      <c r="G383" s="15"/>
    </row>
    <row r="384" spans="1:7" ht="15">
      <c r="A384" s="3" t="s">
        <v>322</v>
      </c>
      <c r="B384" s="18"/>
      <c r="C384" s="8"/>
      <c r="D384" s="7"/>
      <c r="E384" s="7"/>
      <c r="F384" s="15"/>
      <c r="G384" s="15"/>
    </row>
    <row r="385" spans="1:7" ht="15">
      <c r="A385" s="3" t="s">
        <v>323</v>
      </c>
      <c r="B385" s="18"/>
      <c r="C385" s="8"/>
      <c r="D385" s="7"/>
      <c r="E385" s="7"/>
      <c r="F385" s="15"/>
      <c r="G385" s="15"/>
    </row>
    <row r="386" spans="1:7" ht="15">
      <c r="A386" s="3" t="s">
        <v>324</v>
      </c>
      <c r="B386" s="18"/>
      <c r="C386" s="8"/>
      <c r="D386" s="7"/>
      <c r="E386" s="7"/>
      <c r="F386" s="15"/>
      <c r="G386" s="15"/>
    </row>
    <row r="387" spans="1:7" ht="15">
      <c r="A387" s="3" t="s">
        <v>325</v>
      </c>
      <c r="B387" s="18">
        <f>B5*4</f>
        <v>0.2</v>
      </c>
      <c r="C387" s="8"/>
      <c r="D387" s="21">
        <v>94.01</v>
      </c>
      <c r="E387" s="21">
        <v>2645</v>
      </c>
      <c r="F387" s="15">
        <f t="shared" si="16"/>
        <v>142.89520000000002</v>
      </c>
      <c r="G387" s="15">
        <f t="shared" si="17"/>
        <v>4020.4</v>
      </c>
    </row>
    <row r="388" spans="1:7" ht="15">
      <c r="A388" s="3" t="s">
        <v>326</v>
      </c>
      <c r="B388" s="18">
        <f>2*B5</f>
        <v>0.1</v>
      </c>
      <c r="C388" s="8"/>
      <c r="D388" s="7">
        <f>D387/2</f>
        <v>47.005000000000003</v>
      </c>
      <c r="E388" s="7">
        <f>E387/2</f>
        <v>1322.5</v>
      </c>
      <c r="F388" s="15">
        <f t="shared" si="16"/>
        <v>71.447600000000008</v>
      </c>
      <c r="G388" s="15">
        <f t="shared" si="17"/>
        <v>2010.2</v>
      </c>
    </row>
    <row r="389" spans="1:7" ht="15">
      <c r="A389" s="3" t="s">
        <v>327</v>
      </c>
      <c r="B389" s="18">
        <f>B5</f>
        <v>0.05</v>
      </c>
      <c r="C389" s="8"/>
      <c r="D389" s="7">
        <f>D388/2</f>
        <v>23.502500000000001</v>
      </c>
      <c r="E389" s="7">
        <f>E388/2</f>
        <v>661.25</v>
      </c>
      <c r="F389" s="15">
        <f t="shared" si="16"/>
        <v>35.723800000000004</v>
      </c>
      <c r="G389" s="15">
        <f t="shared" si="17"/>
        <v>1005.1</v>
      </c>
    </row>
    <row r="390" spans="1:7" ht="15">
      <c r="A390" s="3" t="s">
        <v>328</v>
      </c>
      <c r="B390" s="18"/>
      <c r="C390" s="8"/>
      <c r="D390" s="7"/>
      <c r="E390" s="7"/>
      <c r="F390" s="15"/>
      <c r="G390" s="15"/>
    </row>
    <row r="391" spans="1:7" ht="15">
      <c r="A391" s="3" t="s">
        <v>329</v>
      </c>
      <c r="B391" s="18"/>
      <c r="C391" s="8"/>
      <c r="D391" s="7"/>
      <c r="E391" s="7"/>
      <c r="F391" s="15"/>
      <c r="G391" s="15"/>
    </row>
    <row r="392" spans="1:7" ht="15">
      <c r="A392" s="3" t="s">
        <v>330</v>
      </c>
      <c r="B392" s="18">
        <f>B5</f>
        <v>0.05</v>
      </c>
      <c r="C392" s="8"/>
      <c r="D392" s="21">
        <v>40.53</v>
      </c>
      <c r="E392" s="21">
        <v>664.9</v>
      </c>
      <c r="F392" s="15">
        <f t="shared" si="16"/>
        <v>61.605600000000003</v>
      </c>
      <c r="G392" s="15">
        <f t="shared" si="17"/>
        <v>1010.648</v>
      </c>
    </row>
    <row r="393" spans="1:7" ht="15">
      <c r="A393" s="3" t="s">
        <v>331</v>
      </c>
      <c r="B393" s="18"/>
      <c r="C393" s="8"/>
      <c r="D393" s="7"/>
      <c r="E393" s="7"/>
      <c r="F393" s="15">
        <f t="shared" si="16"/>
        <v>0</v>
      </c>
      <c r="G393" s="15">
        <f t="shared" si="17"/>
        <v>0</v>
      </c>
    </row>
    <row r="394" spans="1:7" ht="15">
      <c r="A394" s="3" t="s">
        <v>332</v>
      </c>
      <c r="B394" s="18"/>
      <c r="C394" s="8"/>
      <c r="D394" s="7"/>
      <c r="E394" s="7"/>
      <c r="F394" s="15">
        <f t="shared" si="16"/>
        <v>0</v>
      </c>
      <c r="G394" s="15">
        <f t="shared" si="17"/>
        <v>0</v>
      </c>
    </row>
    <row r="395" spans="1:7" ht="15">
      <c r="A395" s="3" t="s">
        <v>333</v>
      </c>
      <c r="B395" s="18">
        <f>6*B7</f>
        <v>2.5000000000000001E-2</v>
      </c>
      <c r="C395" s="8"/>
      <c r="D395" s="7">
        <f>D392/2</f>
        <v>20.265000000000001</v>
      </c>
      <c r="E395" s="7">
        <f>E392/2</f>
        <v>332.45</v>
      </c>
      <c r="F395" s="15">
        <f t="shared" si="16"/>
        <v>30.802800000000001</v>
      </c>
      <c r="G395" s="15">
        <f t="shared" si="17"/>
        <v>505.32400000000001</v>
      </c>
    </row>
    <row r="396" spans="1:7" ht="15">
      <c r="A396" s="3" t="s">
        <v>334</v>
      </c>
      <c r="B396" s="18">
        <f>4*B7</f>
        <v>1.6666666666666666E-2</v>
      </c>
      <c r="C396" s="8"/>
      <c r="D396" s="7">
        <f>D395/1.5</f>
        <v>13.51</v>
      </c>
      <c r="E396" s="7">
        <f>E395/1.5</f>
        <v>221.63333333333333</v>
      </c>
      <c r="F396" s="15">
        <f t="shared" si="16"/>
        <v>20.5352</v>
      </c>
      <c r="G396" s="15">
        <f t="shared" si="17"/>
        <v>336.88266666666664</v>
      </c>
    </row>
    <row r="397" spans="1:7" ht="15">
      <c r="A397" s="3" t="s">
        <v>335</v>
      </c>
      <c r="B397" s="18">
        <f>3*B7</f>
        <v>1.2500000000000001E-2</v>
      </c>
      <c r="C397" s="8"/>
      <c r="D397" s="7">
        <f>D395/2</f>
        <v>10.1325</v>
      </c>
      <c r="E397" s="7">
        <f>E395/2</f>
        <v>166.22499999999999</v>
      </c>
      <c r="F397" s="15">
        <f t="shared" ref="F397:F463" si="18">D397*1.52</f>
        <v>15.401400000000001</v>
      </c>
      <c r="G397" s="15">
        <f t="shared" si="17"/>
        <v>252.66200000000001</v>
      </c>
    </row>
    <row r="398" spans="1:7" ht="15">
      <c r="A398" s="3" t="s">
        <v>336</v>
      </c>
      <c r="B398" s="18">
        <f>2*B7</f>
        <v>8.3333333333333332E-3</v>
      </c>
      <c r="C398" s="8"/>
      <c r="D398" s="7">
        <f>D396/2</f>
        <v>6.7549999999999999</v>
      </c>
      <c r="E398" s="7">
        <f>E396/2</f>
        <v>110.81666666666666</v>
      </c>
      <c r="F398" s="15">
        <f t="shared" si="18"/>
        <v>10.2676</v>
      </c>
      <c r="G398" s="15">
        <f t="shared" si="17"/>
        <v>168.44133333333332</v>
      </c>
    </row>
    <row r="399" spans="1:7" ht="15">
      <c r="A399" s="3" t="s">
        <v>337</v>
      </c>
      <c r="B399" s="18">
        <f>8*B5</f>
        <v>0.4</v>
      </c>
      <c r="C399" s="8"/>
      <c r="D399" s="21">
        <v>109.4</v>
      </c>
      <c r="E399" s="21">
        <v>1228</v>
      </c>
      <c r="F399" s="15">
        <f t="shared" si="18"/>
        <v>166.28800000000001</v>
      </c>
      <c r="G399" s="15">
        <f t="shared" ref="G399:G462" si="19">E399*1.52</f>
        <v>1866.56</v>
      </c>
    </row>
    <row r="400" spans="1:7" ht="15">
      <c r="A400" s="3" t="s">
        <v>338</v>
      </c>
      <c r="B400" s="18">
        <f>4*B5</f>
        <v>0.2</v>
      </c>
      <c r="C400" s="8"/>
      <c r="D400" s="7">
        <f>D399/2</f>
        <v>54.7</v>
      </c>
      <c r="E400" s="7">
        <f>E399/2</f>
        <v>614</v>
      </c>
      <c r="F400" s="15">
        <f t="shared" si="18"/>
        <v>83.144000000000005</v>
      </c>
      <c r="G400" s="15">
        <f t="shared" si="19"/>
        <v>933.28</v>
      </c>
    </row>
    <row r="401" spans="1:9" ht="15">
      <c r="A401" s="3" t="s">
        <v>339</v>
      </c>
      <c r="B401" s="18">
        <f>2*B5</f>
        <v>0.1</v>
      </c>
      <c r="C401" s="8"/>
      <c r="D401" s="7">
        <f>D400/2</f>
        <v>27.35</v>
      </c>
      <c r="E401" s="7">
        <f>E400/2</f>
        <v>307</v>
      </c>
      <c r="F401" s="15">
        <f t="shared" si="18"/>
        <v>41.572000000000003</v>
      </c>
      <c r="G401" s="15">
        <f t="shared" si="19"/>
        <v>466.64</v>
      </c>
    </row>
    <row r="402" spans="1:9" ht="15">
      <c r="A402" s="3" t="s">
        <v>340</v>
      </c>
      <c r="B402" s="18">
        <f>20*B7</f>
        <v>8.3333333333333329E-2</v>
      </c>
      <c r="C402" s="8"/>
      <c r="D402" s="21">
        <v>22.7</v>
      </c>
      <c r="E402" s="21">
        <v>254.7</v>
      </c>
      <c r="F402" s="15">
        <f t="shared" si="18"/>
        <v>34.503999999999998</v>
      </c>
      <c r="G402" s="15">
        <f t="shared" si="19"/>
        <v>387.14400000000001</v>
      </c>
    </row>
    <row r="403" spans="1:9" ht="15">
      <c r="A403" s="3" t="s">
        <v>341</v>
      </c>
      <c r="B403" s="18">
        <f>18*B7</f>
        <v>7.4999999999999997E-2</v>
      </c>
      <c r="C403" s="8"/>
      <c r="D403" s="21">
        <v>20.51</v>
      </c>
      <c r="E403" s="21">
        <v>230.2</v>
      </c>
      <c r="F403" s="15">
        <f t="shared" si="18"/>
        <v>31.175200000000004</v>
      </c>
      <c r="G403" s="15">
        <f t="shared" si="19"/>
        <v>349.904</v>
      </c>
    </row>
    <row r="404" spans="1:9" ht="15">
      <c r="A404" s="3" t="s">
        <v>342</v>
      </c>
      <c r="B404" s="18">
        <f>8*B7</f>
        <v>3.3333333333333333E-2</v>
      </c>
      <c r="C404" s="8"/>
      <c r="D404" s="21">
        <v>9.0299999999999994</v>
      </c>
      <c r="E404" s="21">
        <v>101.3</v>
      </c>
      <c r="F404" s="15">
        <f t="shared" si="18"/>
        <v>13.7256</v>
      </c>
      <c r="G404" s="15">
        <f t="shared" si="19"/>
        <v>153.976</v>
      </c>
      <c r="I404" s="18">
        <f>AVERAGE(B408:C408)</f>
        <v>5700</v>
      </c>
    </row>
    <row r="405" spans="1:9" ht="15">
      <c r="A405" s="3" t="s">
        <v>343</v>
      </c>
      <c r="B405" s="18">
        <v>2</v>
      </c>
      <c r="C405" s="8"/>
      <c r="D405" s="21">
        <v>1381</v>
      </c>
      <c r="E405" s="21">
        <v>27330</v>
      </c>
      <c r="F405" s="15">
        <f t="shared" si="18"/>
        <v>2099.12</v>
      </c>
      <c r="G405" s="15">
        <f t="shared" si="19"/>
        <v>41541.599999999999</v>
      </c>
    </row>
    <row r="406" spans="1:9" ht="15">
      <c r="A406" s="3" t="s">
        <v>344</v>
      </c>
      <c r="B406" s="18">
        <v>30000</v>
      </c>
      <c r="C406" s="8"/>
      <c r="D406" s="21">
        <v>20720000</v>
      </c>
      <c r="E406" s="21">
        <v>410000000</v>
      </c>
      <c r="F406" s="15">
        <f t="shared" si="18"/>
        <v>31494400</v>
      </c>
      <c r="G406" s="15">
        <f t="shared" si="19"/>
        <v>623200000</v>
      </c>
    </row>
    <row r="407" spans="1:9" ht="15">
      <c r="A407" s="3" t="s">
        <v>345</v>
      </c>
      <c r="B407" s="18">
        <v>200</v>
      </c>
      <c r="C407" s="8">
        <v>500</v>
      </c>
      <c r="D407" s="21">
        <v>241700</v>
      </c>
      <c r="E407" s="21">
        <v>4783000</v>
      </c>
      <c r="F407" s="15">
        <f t="shared" si="18"/>
        <v>367384</v>
      </c>
      <c r="G407" s="15">
        <f t="shared" si="19"/>
        <v>7270160</v>
      </c>
    </row>
    <row r="408" spans="1:9" ht="15">
      <c r="A408" s="3" t="s">
        <v>346</v>
      </c>
      <c r="B408" s="18">
        <v>400</v>
      </c>
      <c r="C408" s="8">
        <v>11000</v>
      </c>
      <c r="D408" s="21">
        <v>3936000</v>
      </c>
      <c r="E408" s="21">
        <v>77890000</v>
      </c>
      <c r="F408" s="15">
        <f t="shared" si="18"/>
        <v>5982720</v>
      </c>
      <c r="G408" s="15">
        <f t="shared" si="19"/>
        <v>118392800</v>
      </c>
    </row>
    <row r="409" spans="1:9" ht="15">
      <c r="A409" s="3" t="s">
        <v>347</v>
      </c>
      <c r="B409" s="18">
        <v>300</v>
      </c>
      <c r="C409" s="8"/>
      <c r="D409" s="21">
        <v>207200</v>
      </c>
      <c r="E409" s="21">
        <v>4100000</v>
      </c>
      <c r="F409" s="15">
        <f t="shared" si="18"/>
        <v>314944</v>
      </c>
      <c r="G409" s="15">
        <f t="shared" si="19"/>
        <v>6232000</v>
      </c>
    </row>
    <row r="410" spans="1:9" ht="15">
      <c r="A410" s="3" t="s">
        <v>348</v>
      </c>
      <c r="B410" s="18">
        <f>26*B5+8*B7</f>
        <v>1.3333333333333335</v>
      </c>
      <c r="C410" s="8"/>
      <c r="D410" s="21">
        <v>626.6</v>
      </c>
      <c r="E410" s="21">
        <v>7045</v>
      </c>
      <c r="F410" s="15">
        <f t="shared" si="18"/>
        <v>952.43200000000002</v>
      </c>
      <c r="G410" s="15">
        <f t="shared" si="19"/>
        <v>10708.4</v>
      </c>
    </row>
    <row r="411" spans="1:9" ht="15">
      <c r="A411" s="3" t="s">
        <v>349</v>
      </c>
      <c r="B411" s="18">
        <f>24*B5</f>
        <v>1.2000000000000002</v>
      </c>
      <c r="C411" s="8"/>
      <c r="D411" s="21">
        <v>564.1</v>
      </c>
      <c r="E411" s="21">
        <v>6342</v>
      </c>
      <c r="F411" s="15">
        <f t="shared" si="18"/>
        <v>857.43200000000002</v>
      </c>
      <c r="G411" s="15">
        <f t="shared" si="19"/>
        <v>9639.84</v>
      </c>
    </row>
    <row r="412" spans="1:9" ht="15">
      <c r="A412" s="3" t="s">
        <v>350</v>
      </c>
      <c r="B412" s="18">
        <f>38*B5+10*B7</f>
        <v>1.9416666666666669</v>
      </c>
      <c r="C412" s="8"/>
      <c r="D412" s="21">
        <v>912.8</v>
      </c>
      <c r="E412" s="21">
        <v>10260</v>
      </c>
      <c r="F412" s="15">
        <f t="shared" si="18"/>
        <v>1387.4559999999999</v>
      </c>
      <c r="G412" s="15">
        <f t="shared" si="19"/>
        <v>15595.2</v>
      </c>
    </row>
    <row r="413" spans="1:9" ht="15">
      <c r="A413" s="3" t="s">
        <v>351</v>
      </c>
      <c r="B413" s="18">
        <f>6*B7</f>
        <v>2.5000000000000001E-2</v>
      </c>
      <c r="C413" s="8"/>
      <c r="D413" s="21">
        <v>11.75</v>
      </c>
      <c r="E413" s="21">
        <v>132.1</v>
      </c>
      <c r="F413" s="15">
        <f t="shared" si="18"/>
        <v>17.86</v>
      </c>
      <c r="G413" s="15">
        <f t="shared" si="19"/>
        <v>200.792</v>
      </c>
    </row>
    <row r="414" spans="1:9" ht="15">
      <c r="A414" s="3" t="s">
        <v>352</v>
      </c>
      <c r="B414" s="18">
        <f>4*B7</f>
        <v>1.6666666666666666E-2</v>
      </c>
      <c r="C414" s="8"/>
      <c r="D414" s="21">
        <v>10.220000000000001</v>
      </c>
      <c r="E414" s="21">
        <v>119.1</v>
      </c>
      <c r="F414" s="15">
        <f t="shared" si="18"/>
        <v>15.534400000000002</v>
      </c>
      <c r="G414" s="15">
        <f t="shared" si="19"/>
        <v>181.03199999999998</v>
      </c>
    </row>
    <row r="415" spans="1:9" ht="15">
      <c r="A415" s="3" t="s">
        <v>353</v>
      </c>
      <c r="B415" s="18">
        <f>3*B7</f>
        <v>1.2500000000000001E-2</v>
      </c>
      <c r="C415" s="8"/>
      <c r="D415" s="21">
        <v>7.82</v>
      </c>
      <c r="E415" s="21">
        <v>91.09</v>
      </c>
      <c r="F415" s="15">
        <f t="shared" si="18"/>
        <v>11.8864</v>
      </c>
      <c r="G415" s="15">
        <f t="shared" si="19"/>
        <v>138.45680000000002</v>
      </c>
    </row>
    <row r="416" spans="1:9" ht="15">
      <c r="A416" s="3" t="s">
        <v>354</v>
      </c>
      <c r="B416" s="18"/>
      <c r="C416" s="8"/>
      <c r="D416" s="7"/>
      <c r="E416" s="7"/>
      <c r="F416" s="15"/>
      <c r="G416" s="15"/>
    </row>
    <row r="417" spans="1:9" ht="15">
      <c r="A417" s="3" t="s">
        <v>355</v>
      </c>
      <c r="B417" s="18">
        <f>14*B7</f>
        <v>5.8333333333333334E-2</v>
      </c>
      <c r="C417" s="8"/>
      <c r="D417" s="21">
        <v>42.41</v>
      </c>
      <c r="E417" s="21">
        <v>720.9</v>
      </c>
      <c r="F417" s="15">
        <f t="shared" si="18"/>
        <v>64.463200000000001</v>
      </c>
      <c r="G417" s="15">
        <f t="shared" si="19"/>
        <v>1095.768</v>
      </c>
    </row>
    <row r="418" spans="1:9" ht="15">
      <c r="A418" s="3" t="s">
        <v>356</v>
      </c>
      <c r="B418" s="18">
        <f>5*B7</f>
        <v>2.0833333333333332E-2</v>
      </c>
      <c r="C418" s="8"/>
      <c r="D418" s="21">
        <v>14.87</v>
      </c>
      <c r="E418" s="21">
        <v>129.19999999999999</v>
      </c>
      <c r="F418" s="15">
        <f t="shared" si="18"/>
        <v>22.602399999999999</v>
      </c>
      <c r="G418" s="15">
        <f t="shared" si="19"/>
        <v>196.38399999999999</v>
      </c>
    </row>
    <row r="419" spans="1:9" ht="15">
      <c r="A419" s="3" t="s">
        <v>357</v>
      </c>
      <c r="B419" s="18"/>
      <c r="C419" s="8"/>
      <c r="D419" s="7"/>
      <c r="E419" s="7"/>
      <c r="F419" s="15">
        <f t="shared" si="18"/>
        <v>0</v>
      </c>
      <c r="G419" s="15">
        <f t="shared" si="19"/>
        <v>0</v>
      </c>
    </row>
    <row r="420" spans="1:9" ht="15">
      <c r="A420" s="3" t="s">
        <v>358</v>
      </c>
      <c r="B420" s="18">
        <f>4+13*B5+4*B7</f>
        <v>4.666666666666667</v>
      </c>
      <c r="C420" s="8"/>
      <c r="D420" s="21">
        <v>3552</v>
      </c>
      <c r="E420" s="21">
        <v>31280</v>
      </c>
      <c r="F420" s="15">
        <f t="shared" si="18"/>
        <v>5399.04</v>
      </c>
      <c r="G420" s="15">
        <f t="shared" si="19"/>
        <v>47545.599999999999</v>
      </c>
    </row>
    <row r="421" spans="1:9" ht="15">
      <c r="A421" s="3" t="s">
        <v>359</v>
      </c>
      <c r="B421" s="18">
        <f>13*B5+B56</f>
        <v>0.65312500000000007</v>
      </c>
      <c r="C421" s="8">
        <v>1</v>
      </c>
      <c r="D421" s="21">
        <v>578.20000000000005</v>
      </c>
      <c r="E421" s="21">
        <v>5946</v>
      </c>
      <c r="F421" s="15">
        <f>D421*1.52</f>
        <v>878.86400000000003</v>
      </c>
      <c r="G421" s="15">
        <f>E421*1.52</f>
        <v>9037.92</v>
      </c>
      <c r="I421" s="18">
        <f>AVERAGE(B421:C421)</f>
        <v>0.82656250000000009</v>
      </c>
    </row>
    <row r="422" spans="1:9" ht="15">
      <c r="A422" s="3" t="s">
        <v>360</v>
      </c>
      <c r="B422" s="18">
        <f>5*B5</f>
        <v>0.25</v>
      </c>
      <c r="C422" s="8">
        <f>8*B5+8*B7</f>
        <v>0.43333333333333335</v>
      </c>
      <c r="D422" s="21">
        <v>239.1</v>
      </c>
      <c r="E422" s="21">
        <v>2459</v>
      </c>
      <c r="F422" s="15">
        <f>D422*1.52</f>
        <v>363.43200000000002</v>
      </c>
      <c r="G422" s="15">
        <f>E422*1.52</f>
        <v>3737.68</v>
      </c>
    </row>
    <row r="423" spans="1:9" ht="15">
      <c r="A423" s="3" t="s">
        <v>361</v>
      </c>
      <c r="B423" s="18"/>
      <c r="C423" s="8"/>
      <c r="D423" s="7"/>
      <c r="E423" s="7"/>
      <c r="F423" s="15"/>
      <c r="G423" s="15"/>
    </row>
    <row r="424" spans="1:9" ht="15">
      <c r="A424" s="3" t="s">
        <v>362</v>
      </c>
      <c r="B424" s="18">
        <f>2*B5</f>
        <v>0.1</v>
      </c>
      <c r="C424" s="8">
        <f>4*B5</f>
        <v>0.2</v>
      </c>
      <c r="D424" s="21">
        <v>104.9</v>
      </c>
      <c r="E424" s="21">
        <v>1079</v>
      </c>
      <c r="F424" s="15">
        <f t="shared" si="18"/>
        <v>159.44800000000001</v>
      </c>
      <c r="G424" s="15">
        <f t="shared" si="19"/>
        <v>1640.08</v>
      </c>
    </row>
    <row r="425" spans="1:9" ht="15">
      <c r="A425" s="3" t="s">
        <v>363</v>
      </c>
      <c r="B425" s="18">
        <f>B5</f>
        <v>0.05</v>
      </c>
      <c r="C425" s="8">
        <f>6*B5</f>
        <v>0.30000000000000004</v>
      </c>
      <c r="D425" s="21">
        <v>122.4</v>
      </c>
      <c r="E425" s="21">
        <v>1258</v>
      </c>
      <c r="F425" s="15">
        <f t="shared" si="18"/>
        <v>186.048</v>
      </c>
      <c r="G425" s="15">
        <f t="shared" si="19"/>
        <v>1912.16</v>
      </c>
    </row>
    <row r="426" spans="1:9" ht="15">
      <c r="A426" s="3" t="s">
        <v>364</v>
      </c>
      <c r="B426" s="18">
        <v>10</v>
      </c>
      <c r="C426" s="8"/>
      <c r="D426" s="21">
        <v>6863</v>
      </c>
      <c r="E426" s="21">
        <v>66850</v>
      </c>
      <c r="F426" s="15">
        <f t="shared" si="18"/>
        <v>10431.76</v>
      </c>
      <c r="G426" s="15">
        <f t="shared" si="19"/>
        <v>101612</v>
      </c>
    </row>
    <row r="427" spans="1:9">
      <c r="A427" s="2"/>
      <c r="B427" s="18"/>
      <c r="C427" s="8"/>
      <c r="D427" s="7"/>
      <c r="E427" s="7"/>
      <c r="F427" s="15">
        <f t="shared" si="18"/>
        <v>0</v>
      </c>
      <c r="G427" s="15">
        <f t="shared" si="19"/>
        <v>0</v>
      </c>
    </row>
    <row r="428" spans="1:9" ht="15">
      <c r="A428" s="3" t="s">
        <v>365</v>
      </c>
      <c r="B428" s="18">
        <v>300</v>
      </c>
      <c r="C428" s="8"/>
      <c r="D428" s="21">
        <v>205900</v>
      </c>
      <c r="E428" s="21">
        <v>2006000</v>
      </c>
      <c r="F428" s="15">
        <f t="shared" si="18"/>
        <v>312968</v>
      </c>
      <c r="G428" s="15">
        <f t="shared" si="19"/>
        <v>3049120</v>
      </c>
    </row>
    <row r="429" spans="1:9" ht="15">
      <c r="A429" s="3" t="s">
        <v>366</v>
      </c>
      <c r="B429" s="18"/>
      <c r="C429" s="8"/>
      <c r="D429" s="7"/>
      <c r="E429" s="7"/>
      <c r="F429" s="15">
        <f t="shared" si="18"/>
        <v>0</v>
      </c>
      <c r="G429" s="15">
        <f t="shared" si="19"/>
        <v>0</v>
      </c>
    </row>
    <row r="430" spans="1:9">
      <c r="A430" s="2"/>
      <c r="B430" s="18"/>
      <c r="C430" s="8"/>
      <c r="D430" s="7"/>
      <c r="E430" s="7"/>
      <c r="F430" s="15">
        <f t="shared" si="18"/>
        <v>0</v>
      </c>
      <c r="G430" s="15">
        <f t="shared" si="19"/>
        <v>0</v>
      </c>
    </row>
    <row r="431" spans="1:9" ht="15">
      <c r="A431" s="3" t="s">
        <v>367</v>
      </c>
      <c r="B431" s="18">
        <f>20*B5</f>
        <v>1</v>
      </c>
      <c r="C431" s="8"/>
      <c r="D431" s="21">
        <v>708</v>
      </c>
      <c r="E431" s="21">
        <v>14640</v>
      </c>
      <c r="F431" s="15">
        <f t="shared" si="18"/>
        <v>1076.1600000000001</v>
      </c>
      <c r="G431" s="15">
        <f t="shared" si="19"/>
        <v>22252.799999999999</v>
      </c>
    </row>
    <row r="432" spans="1:9" ht="15">
      <c r="A432" s="3" t="s">
        <v>368</v>
      </c>
      <c r="B432" s="18"/>
      <c r="C432" s="8"/>
      <c r="D432" s="7"/>
      <c r="E432" s="7"/>
      <c r="F432" s="15"/>
      <c r="G432" s="15"/>
    </row>
    <row r="433" spans="1:9">
      <c r="A433" s="2"/>
      <c r="B433" s="18"/>
      <c r="C433" s="8"/>
      <c r="D433" s="7"/>
      <c r="E433" s="7"/>
      <c r="F433" s="15"/>
      <c r="G433" s="15"/>
    </row>
    <row r="434" spans="1:9" ht="15">
      <c r="A434" s="3" t="s">
        <v>369</v>
      </c>
      <c r="B434" s="18"/>
      <c r="C434" s="8"/>
      <c r="D434" s="7"/>
      <c r="E434" s="7"/>
      <c r="F434" s="15"/>
      <c r="G434" s="15"/>
    </row>
    <row r="435" spans="1:9" ht="15">
      <c r="A435" s="3" t="s">
        <v>370</v>
      </c>
      <c r="B435" s="18"/>
      <c r="C435" s="8"/>
      <c r="D435" s="7"/>
      <c r="E435" s="7"/>
      <c r="F435" s="15"/>
      <c r="G435" s="15"/>
    </row>
    <row r="436" spans="1:9">
      <c r="A436" s="2"/>
      <c r="B436" s="18"/>
      <c r="C436" s="8"/>
      <c r="D436" s="7"/>
      <c r="E436" s="7"/>
      <c r="F436" s="15"/>
      <c r="G436" s="15"/>
    </row>
    <row r="437" spans="1:9" ht="15">
      <c r="A437" s="3" t="s">
        <v>371</v>
      </c>
      <c r="B437" s="18" t="s">
        <v>444</v>
      </c>
      <c r="C437" s="8" t="s">
        <v>445</v>
      </c>
      <c r="D437" s="7"/>
      <c r="E437" s="7"/>
      <c r="F437" s="15"/>
      <c r="G437" s="15" t="s">
        <v>446</v>
      </c>
      <c r="H437" t="s">
        <v>447</v>
      </c>
      <c r="I437" t="s">
        <v>448</v>
      </c>
    </row>
    <row r="438" spans="1:9" ht="15">
      <c r="A438" s="3" t="s">
        <v>372</v>
      </c>
      <c r="B438" s="18">
        <f>2*B7</f>
        <v>8.3333333333333332E-3</v>
      </c>
      <c r="C438" s="8"/>
      <c r="D438" s="21">
        <v>6.68</v>
      </c>
      <c r="E438" s="21">
        <v>119.2</v>
      </c>
      <c r="F438" s="15">
        <f t="shared" si="18"/>
        <v>10.153599999999999</v>
      </c>
      <c r="G438" s="15">
        <f t="shared" si="19"/>
        <v>181.184</v>
      </c>
      <c r="H438">
        <v>1270</v>
      </c>
      <c r="I438">
        <f>G438/F438</f>
        <v>17.844311377245511</v>
      </c>
    </row>
    <row r="439" spans="1:9" ht="15">
      <c r="A439" s="3" t="s">
        <v>373</v>
      </c>
      <c r="B439" s="18">
        <f>2.5*$B$7</f>
        <v>1.0416666666666666E-2</v>
      </c>
      <c r="C439" s="8">
        <f>$B$7</f>
        <v>4.1666666666666666E-3</v>
      </c>
      <c r="D439" s="21">
        <v>6.99</v>
      </c>
      <c r="E439" s="21">
        <v>151.69999999999999</v>
      </c>
      <c r="F439" s="15">
        <f t="shared" si="18"/>
        <v>10.6248</v>
      </c>
      <c r="G439" s="15">
        <f t="shared" si="19"/>
        <v>230.58399999999997</v>
      </c>
      <c r="H439">
        <v>1275</v>
      </c>
      <c r="I439">
        <f t="shared" ref="I439:I463" si="20">G439/F439</f>
        <v>21.70243204577968</v>
      </c>
    </row>
    <row r="440" spans="1:9" ht="15">
      <c r="A440" s="3" t="s">
        <v>374</v>
      </c>
      <c r="B440" s="18">
        <f>2.25*$B$7</f>
        <v>9.3749999999999997E-3</v>
      </c>
      <c r="C440" s="8">
        <f t="shared" ref="C440:C444" si="21">$B$7</f>
        <v>4.1666666666666666E-3</v>
      </c>
      <c r="D440" s="21">
        <v>7.69</v>
      </c>
      <c r="E440" s="21">
        <v>128.69999999999999</v>
      </c>
      <c r="F440" s="15">
        <f t="shared" si="18"/>
        <v>11.688800000000001</v>
      </c>
      <c r="G440" s="15">
        <f t="shared" si="19"/>
        <v>195.624</v>
      </c>
      <c r="H440">
        <v>1285</v>
      </c>
      <c r="I440">
        <f t="shared" si="20"/>
        <v>16.736020806241871</v>
      </c>
    </row>
    <row r="441" spans="1:9" ht="15">
      <c r="A441" s="3" t="s">
        <v>375</v>
      </c>
      <c r="B441" s="18">
        <f t="shared" ref="B441:B442" si="22">2.5*$B$7</f>
        <v>1.0416666666666666E-2</v>
      </c>
      <c r="C441" s="8">
        <f t="shared" si="21"/>
        <v>4.1666666666666666E-3</v>
      </c>
      <c r="D441" s="21">
        <v>6.47</v>
      </c>
      <c r="E441" s="21">
        <v>144.6</v>
      </c>
      <c r="F441" s="15">
        <f t="shared" si="18"/>
        <v>9.8344000000000005</v>
      </c>
      <c r="G441" s="15">
        <f t="shared" si="19"/>
        <v>219.792</v>
      </c>
      <c r="H441">
        <v>1295</v>
      </c>
      <c r="I441">
        <f t="shared" si="20"/>
        <v>22.349304482225655</v>
      </c>
    </row>
    <row r="442" spans="1:9" ht="15">
      <c r="A442" s="3" t="s">
        <v>376</v>
      </c>
      <c r="B442" s="18">
        <f t="shared" si="22"/>
        <v>1.0416666666666666E-2</v>
      </c>
      <c r="C442" s="8">
        <f t="shared" si="21"/>
        <v>4.1666666666666666E-3</v>
      </c>
      <c r="D442" s="21">
        <v>7.56</v>
      </c>
      <c r="E442" s="21">
        <v>142.19999999999999</v>
      </c>
      <c r="F442" s="15">
        <f t="shared" si="18"/>
        <v>11.491199999999999</v>
      </c>
      <c r="G442" s="15">
        <f t="shared" si="19"/>
        <v>216.14399999999998</v>
      </c>
      <c r="H442">
        <v>1305</v>
      </c>
      <c r="I442">
        <f t="shared" si="20"/>
        <v>18.80952380952381</v>
      </c>
    </row>
    <row r="443" spans="1:9" ht="15">
      <c r="A443" s="3" t="s">
        <v>377</v>
      </c>
      <c r="B443" s="18">
        <f>3*$B$7</f>
        <v>1.2500000000000001E-2</v>
      </c>
      <c r="C443" s="8">
        <f>1.25*$B$7</f>
        <v>5.208333333333333E-3</v>
      </c>
      <c r="D443" s="21">
        <v>8.1300000000000008</v>
      </c>
      <c r="E443" s="21">
        <v>178.6</v>
      </c>
      <c r="F443" s="15">
        <f t="shared" si="18"/>
        <v>12.357600000000001</v>
      </c>
      <c r="G443" s="15">
        <f t="shared" si="19"/>
        <v>271.47199999999998</v>
      </c>
      <c r="H443">
        <v>1315</v>
      </c>
      <c r="I443">
        <f t="shared" si="20"/>
        <v>21.968019680196797</v>
      </c>
    </row>
    <row r="444" spans="1:9" ht="15">
      <c r="A444" s="3" t="s">
        <v>378</v>
      </c>
      <c r="B444" s="18">
        <f t="shared" ref="B444:B446" si="23">3*$B$7</f>
        <v>1.2500000000000001E-2</v>
      </c>
      <c r="C444" s="8">
        <f t="shared" si="21"/>
        <v>4.1666666666666666E-3</v>
      </c>
      <c r="D444" s="21">
        <v>7.99</v>
      </c>
      <c r="E444" s="21">
        <v>163.19999999999999</v>
      </c>
      <c r="F444" s="15">
        <f t="shared" si="18"/>
        <v>12.1448</v>
      </c>
      <c r="G444" s="15">
        <f t="shared" si="19"/>
        <v>248.06399999999999</v>
      </c>
      <c r="H444">
        <v>1325</v>
      </c>
      <c r="I444">
        <f t="shared" si="20"/>
        <v>20.425531914893618</v>
      </c>
    </row>
    <row r="445" spans="1:9" ht="15">
      <c r="A445" s="3" t="s">
        <v>379</v>
      </c>
      <c r="B445" s="18">
        <f t="shared" si="23"/>
        <v>1.2500000000000001E-2</v>
      </c>
      <c r="C445" s="8">
        <f t="shared" ref="C445:C446" si="24">1.25*$B$7</f>
        <v>5.208333333333333E-3</v>
      </c>
      <c r="D445" s="21">
        <v>10.1</v>
      </c>
      <c r="E445" s="21">
        <v>160.80000000000001</v>
      </c>
      <c r="F445" s="15">
        <f t="shared" si="18"/>
        <v>15.352</v>
      </c>
      <c r="G445" s="15">
        <f t="shared" si="19"/>
        <v>244.41600000000003</v>
      </c>
      <c r="H445">
        <v>1335</v>
      </c>
      <c r="I445">
        <f t="shared" si="20"/>
        <v>15.920792079207922</v>
      </c>
    </row>
    <row r="446" spans="1:9" ht="15">
      <c r="A446" s="3" t="s">
        <v>380</v>
      </c>
      <c r="B446" s="18">
        <f t="shared" si="23"/>
        <v>1.2500000000000001E-2</v>
      </c>
      <c r="C446" s="8">
        <f t="shared" si="24"/>
        <v>5.208333333333333E-3</v>
      </c>
      <c r="D446" s="21">
        <v>11.02</v>
      </c>
      <c r="E446" s="21">
        <v>171</v>
      </c>
      <c r="F446" s="15">
        <f t="shared" si="18"/>
        <v>16.750399999999999</v>
      </c>
      <c r="G446" s="15">
        <f t="shared" si="19"/>
        <v>259.92</v>
      </c>
      <c r="H446">
        <v>1345</v>
      </c>
      <c r="I446">
        <f t="shared" si="20"/>
        <v>15.517241379310347</v>
      </c>
    </row>
    <row r="447" spans="1:9" ht="15">
      <c r="A447" s="3" t="s">
        <v>381</v>
      </c>
      <c r="B447" s="18">
        <f>3.5*$B$7</f>
        <v>1.4583333333333334E-2</v>
      </c>
      <c r="C447" s="8">
        <f>2*B7</f>
        <v>8.3333333333333332E-3</v>
      </c>
      <c r="D447" s="21">
        <v>9.8699999999999992</v>
      </c>
      <c r="E447" s="21">
        <v>120.1</v>
      </c>
      <c r="F447" s="15">
        <f t="shared" si="18"/>
        <v>15.0024</v>
      </c>
      <c r="G447" s="15">
        <f t="shared" si="19"/>
        <v>182.55199999999999</v>
      </c>
      <c r="H447">
        <v>1355</v>
      </c>
      <c r="I447">
        <f t="shared" si="20"/>
        <v>12.168186423505572</v>
      </c>
    </row>
    <row r="448" spans="1:9" ht="15">
      <c r="A448" s="3" t="s">
        <v>382</v>
      </c>
      <c r="B448" s="18">
        <f t="shared" ref="B448" si="25">3.5*$B$7</f>
        <v>1.4583333333333334E-2</v>
      </c>
      <c r="C448" s="8">
        <f>2*$B$7</f>
        <v>8.3333333333333332E-3</v>
      </c>
      <c r="D448" s="21">
        <v>8.93</v>
      </c>
      <c r="E448" s="21">
        <v>102.5</v>
      </c>
      <c r="F448" s="15">
        <f t="shared" si="18"/>
        <v>13.573599999999999</v>
      </c>
      <c r="G448" s="15">
        <f t="shared" si="19"/>
        <v>155.80000000000001</v>
      </c>
      <c r="H448">
        <v>1365</v>
      </c>
      <c r="I448">
        <f t="shared" si="20"/>
        <v>11.478163493840988</v>
      </c>
    </row>
    <row r="449" spans="1:9" ht="15">
      <c r="A449" s="3" t="s">
        <v>383</v>
      </c>
      <c r="B449" s="18">
        <f>4.25*$B$7</f>
        <v>1.7708333333333333E-2</v>
      </c>
      <c r="C449" s="8">
        <f>2.5*$B$7</f>
        <v>1.0416666666666666E-2</v>
      </c>
      <c r="D449" s="21">
        <v>9.8699999999999992</v>
      </c>
      <c r="E449" s="21">
        <v>116.2</v>
      </c>
      <c r="F449" s="15">
        <f t="shared" si="18"/>
        <v>15.0024</v>
      </c>
      <c r="G449" s="15">
        <f t="shared" si="19"/>
        <v>176.624</v>
      </c>
      <c r="H449">
        <v>1375</v>
      </c>
      <c r="I449">
        <f t="shared" si="20"/>
        <v>11.773049645390071</v>
      </c>
    </row>
    <row r="450" spans="1:9" ht="15">
      <c r="A450" s="3" t="s">
        <v>384</v>
      </c>
      <c r="B450" s="18">
        <f>4*$B$7</f>
        <v>1.6666666666666666E-2</v>
      </c>
      <c r="C450" s="8">
        <f>2.25*$B$7</f>
        <v>9.3749999999999997E-3</v>
      </c>
      <c r="D450" s="21">
        <v>12.11</v>
      </c>
      <c r="E450" s="21">
        <v>111.2</v>
      </c>
      <c r="F450" s="15">
        <f t="shared" si="18"/>
        <v>18.4072</v>
      </c>
      <c r="G450" s="15">
        <f t="shared" si="19"/>
        <v>169.024</v>
      </c>
      <c r="H450">
        <v>1385</v>
      </c>
      <c r="I450">
        <f t="shared" si="20"/>
        <v>9.182493806771264</v>
      </c>
    </row>
    <row r="451" spans="1:9" ht="15">
      <c r="A451" s="3" t="s">
        <v>385</v>
      </c>
      <c r="B451" s="18">
        <f t="shared" ref="B451" si="26">4.25*$B$7</f>
        <v>1.7708333333333333E-2</v>
      </c>
      <c r="C451" s="8">
        <f>2.75*$B$7</f>
        <v>1.1458333333333333E-2</v>
      </c>
      <c r="D451" s="21">
        <v>13.34</v>
      </c>
      <c r="E451" s="21">
        <v>121.3</v>
      </c>
      <c r="F451" s="15">
        <f t="shared" si="18"/>
        <v>20.276800000000001</v>
      </c>
      <c r="G451" s="15">
        <f t="shared" si="19"/>
        <v>184.376</v>
      </c>
      <c r="H451">
        <v>1395</v>
      </c>
      <c r="I451">
        <f t="shared" si="20"/>
        <v>9.0929535232383802</v>
      </c>
    </row>
    <row r="452" spans="1:9" ht="15">
      <c r="A452" s="3" t="s">
        <v>386</v>
      </c>
      <c r="B452" s="18">
        <f>4.5*$B$7</f>
        <v>1.8749999999999999E-2</v>
      </c>
      <c r="C452" s="8">
        <f>3*$B$7</f>
        <v>1.2500000000000001E-2</v>
      </c>
      <c r="D452" s="21">
        <v>13.45</v>
      </c>
      <c r="E452" s="21">
        <v>119.3</v>
      </c>
      <c r="F452" s="15">
        <f t="shared" si="18"/>
        <v>20.443999999999999</v>
      </c>
      <c r="G452" s="15">
        <f t="shared" si="19"/>
        <v>181.33599999999998</v>
      </c>
      <c r="H452">
        <v>1405</v>
      </c>
      <c r="I452">
        <f t="shared" si="20"/>
        <v>8.8698884758364311</v>
      </c>
    </row>
    <row r="453" spans="1:9" ht="15">
      <c r="A453" s="3" t="s">
        <v>387</v>
      </c>
      <c r="B453" s="18">
        <f>4.75*$B$7</f>
        <v>1.9791666666666666E-2</v>
      </c>
      <c r="C453" s="8">
        <f>3*$B$7</f>
        <v>1.2500000000000001E-2</v>
      </c>
      <c r="D453" s="21">
        <v>13.98</v>
      </c>
      <c r="E453" s="21">
        <v>120.1</v>
      </c>
      <c r="F453" s="15">
        <f t="shared" si="18"/>
        <v>21.249600000000001</v>
      </c>
      <c r="G453" s="15">
        <f t="shared" si="19"/>
        <v>182.55199999999999</v>
      </c>
      <c r="H453">
        <v>1415</v>
      </c>
      <c r="I453">
        <f t="shared" si="20"/>
        <v>8.5908440629470668</v>
      </c>
    </row>
    <row r="454" spans="1:9" ht="15">
      <c r="A454" s="3" t="s">
        <v>388</v>
      </c>
      <c r="B454" s="18">
        <f>4.5*$B$7</f>
        <v>1.8749999999999999E-2</v>
      </c>
      <c r="C454" s="8">
        <f>3*$B$7</f>
        <v>1.2500000000000001E-2</v>
      </c>
      <c r="D454" s="21">
        <v>12.96</v>
      </c>
      <c r="E454" s="21">
        <v>112.7</v>
      </c>
      <c r="F454" s="15">
        <f t="shared" si="18"/>
        <v>19.699200000000001</v>
      </c>
      <c r="G454" s="15">
        <f t="shared" si="19"/>
        <v>171.304</v>
      </c>
      <c r="H454">
        <v>1425</v>
      </c>
      <c r="I454">
        <f t="shared" si="20"/>
        <v>8.6959876543209873</v>
      </c>
    </row>
    <row r="455" spans="1:9" ht="15">
      <c r="A455" s="3" t="s">
        <v>389</v>
      </c>
      <c r="B455" s="18">
        <f>4.5*$B$7</f>
        <v>1.8749999999999999E-2</v>
      </c>
      <c r="C455" s="8">
        <f>3.25*$B$7</f>
        <v>1.3541666666666667E-2</v>
      </c>
      <c r="D455" s="21">
        <v>13.45</v>
      </c>
      <c r="E455" s="21">
        <v>109.8</v>
      </c>
      <c r="F455" s="15">
        <f t="shared" si="18"/>
        <v>20.443999999999999</v>
      </c>
      <c r="G455" s="15">
        <f t="shared" si="19"/>
        <v>166.89599999999999</v>
      </c>
      <c r="H455">
        <v>1435</v>
      </c>
      <c r="I455">
        <f t="shared" si="20"/>
        <v>8.1635687732341999</v>
      </c>
    </row>
    <row r="456" spans="1:9" ht="15">
      <c r="A456" s="3" t="s">
        <v>390</v>
      </c>
      <c r="B456" s="18">
        <f>5.25*$B$7</f>
        <v>2.1874999999999999E-2</v>
      </c>
      <c r="C456" s="8">
        <f>4*$B$7</f>
        <v>1.6666666666666666E-2</v>
      </c>
      <c r="D456" s="21">
        <v>17.09</v>
      </c>
      <c r="E456" s="21">
        <v>125.4</v>
      </c>
      <c r="F456" s="15">
        <f t="shared" si="18"/>
        <v>25.976800000000001</v>
      </c>
      <c r="G456" s="15">
        <f t="shared" si="19"/>
        <v>190.608</v>
      </c>
      <c r="H456">
        <v>1445</v>
      </c>
      <c r="I456">
        <f t="shared" si="20"/>
        <v>7.3376243417203044</v>
      </c>
    </row>
    <row r="457" spans="1:9" ht="15">
      <c r="A457" s="3" t="s">
        <v>391</v>
      </c>
      <c r="B457" s="18">
        <f>5.5*$B$7</f>
        <v>2.2916666666666665E-2</v>
      </c>
      <c r="C457" s="8">
        <f>3.25*$B$7</f>
        <v>1.3541666666666667E-2</v>
      </c>
      <c r="D457" s="21">
        <v>17.39</v>
      </c>
      <c r="E457" s="21">
        <v>135.80000000000001</v>
      </c>
      <c r="F457" s="15">
        <f t="shared" si="18"/>
        <v>26.4328</v>
      </c>
      <c r="G457" s="15">
        <f t="shared" si="19"/>
        <v>206.41600000000003</v>
      </c>
      <c r="H457">
        <v>1455</v>
      </c>
      <c r="I457">
        <f t="shared" si="20"/>
        <v>7.809085681426108</v>
      </c>
    </row>
    <row r="458" spans="1:9" ht="15">
      <c r="A458" s="3" t="s">
        <v>392</v>
      </c>
      <c r="B458" s="18">
        <f>4.75*$B$7</f>
        <v>1.9791666666666666E-2</v>
      </c>
      <c r="C458" s="8">
        <f>3.75*$B$7</f>
        <v>1.5625E-2</v>
      </c>
      <c r="D458" s="21">
        <v>14.72</v>
      </c>
      <c r="E458" s="21">
        <v>111.7</v>
      </c>
      <c r="F458" s="15">
        <f t="shared" si="18"/>
        <v>22.374400000000001</v>
      </c>
      <c r="G458" s="15">
        <f t="shared" si="19"/>
        <v>169.78400000000002</v>
      </c>
      <c r="H458">
        <v>1465</v>
      </c>
      <c r="I458">
        <f t="shared" si="20"/>
        <v>7.5883152173913047</v>
      </c>
    </row>
    <row r="459" spans="1:9" ht="15">
      <c r="A459" s="3" t="s">
        <v>393</v>
      </c>
      <c r="B459" s="18">
        <f>5.25*$B$7</f>
        <v>2.1874999999999999E-2</v>
      </c>
      <c r="C459" s="8">
        <f>3.75*$B$7</f>
        <v>1.5625E-2</v>
      </c>
      <c r="D459" s="21">
        <v>16.190000000000001</v>
      </c>
      <c r="E459" s="21">
        <v>127.4</v>
      </c>
      <c r="F459" s="15">
        <f t="shared" si="18"/>
        <v>24.608800000000002</v>
      </c>
      <c r="G459" s="15">
        <f t="shared" si="19"/>
        <v>193.64800000000002</v>
      </c>
      <c r="H459">
        <v>1475</v>
      </c>
      <c r="I459">
        <f t="shared" si="20"/>
        <v>7.8690549722050651</v>
      </c>
    </row>
    <row r="460" spans="1:9" ht="15">
      <c r="A460" s="3" t="s">
        <v>394</v>
      </c>
      <c r="B460" s="18">
        <f>6*$B$7</f>
        <v>2.5000000000000001E-2</v>
      </c>
      <c r="C460" s="8">
        <f>3.75*$B$7</f>
        <v>1.5625E-2</v>
      </c>
      <c r="D460" s="21">
        <v>17.16</v>
      </c>
      <c r="E460" s="21">
        <v>144.1</v>
      </c>
      <c r="F460" s="15">
        <f t="shared" si="18"/>
        <v>26.083200000000001</v>
      </c>
      <c r="G460" s="15">
        <f t="shared" si="19"/>
        <v>219.03199999999998</v>
      </c>
      <c r="H460">
        <v>1485</v>
      </c>
      <c r="I460">
        <f t="shared" si="20"/>
        <v>8.397435897435896</v>
      </c>
    </row>
    <row r="461" spans="1:9" ht="15">
      <c r="A461" s="3" t="s">
        <v>395</v>
      </c>
      <c r="B461" s="18">
        <f>5.5*B7</f>
        <v>2.2916666666666665E-2</v>
      </c>
      <c r="C461" s="8">
        <f>3.5*$B$7</f>
        <v>1.4583333333333334E-2</v>
      </c>
      <c r="D461" s="21">
        <v>16.489999999999998</v>
      </c>
      <c r="E461" s="21">
        <v>135.5</v>
      </c>
      <c r="F461" s="15">
        <f t="shared" si="18"/>
        <v>25.064799999999998</v>
      </c>
      <c r="G461" s="15">
        <f t="shared" si="19"/>
        <v>205.96</v>
      </c>
      <c r="H461">
        <v>1495</v>
      </c>
      <c r="I461">
        <f t="shared" si="20"/>
        <v>8.2171012734990914</v>
      </c>
    </row>
    <row r="462" spans="1:9" ht="15">
      <c r="A462" s="3" t="s">
        <v>396</v>
      </c>
      <c r="B462" s="18">
        <f>5.75*B7</f>
        <v>2.3958333333333331E-2</v>
      </c>
      <c r="C462" s="8">
        <f>4*$B$7</f>
        <v>1.6666666666666666E-2</v>
      </c>
      <c r="D462" s="21">
        <v>16.27</v>
      </c>
      <c r="E462" s="21">
        <v>155.4</v>
      </c>
      <c r="F462" s="15">
        <f t="shared" si="18"/>
        <v>24.730399999999999</v>
      </c>
      <c r="G462" s="15">
        <f t="shared" si="19"/>
        <v>236.208</v>
      </c>
      <c r="H462">
        <v>1505</v>
      </c>
      <c r="I462">
        <f t="shared" si="20"/>
        <v>9.5513214505224333</v>
      </c>
    </row>
    <row r="463" spans="1:9" ht="15">
      <c r="A463" s="3" t="s">
        <v>397</v>
      </c>
      <c r="B463" s="18">
        <f>5.25*B7</f>
        <v>2.1874999999999999E-2</v>
      </c>
      <c r="C463" s="8">
        <f>4*$B$7</f>
        <v>1.6666666666666666E-2</v>
      </c>
      <c r="D463" s="21">
        <v>14.23</v>
      </c>
      <c r="E463" s="21">
        <v>141</v>
      </c>
      <c r="F463" s="15">
        <f t="shared" si="18"/>
        <v>21.6296</v>
      </c>
      <c r="G463" s="15">
        <f t="shared" ref="G463" si="27">E463*1.52</f>
        <v>214.32</v>
      </c>
      <c r="H463">
        <v>1515</v>
      </c>
      <c r="I463">
        <f t="shared" si="20"/>
        <v>9.9086437104708356</v>
      </c>
    </row>
    <row r="464" spans="1:9">
      <c r="B464" s="8"/>
      <c r="C464" s="8"/>
    </row>
    <row r="465" spans="1:3">
      <c r="B465" s="8"/>
      <c r="C465" s="8"/>
    </row>
    <row r="466" spans="1:3">
      <c r="B466" s="8"/>
      <c r="C466" s="8"/>
    </row>
    <row r="467" spans="1:3" ht="16">
      <c r="A467" s="4" t="s">
        <v>398</v>
      </c>
      <c r="B467" s="8"/>
      <c r="C467" s="8"/>
    </row>
    <row r="468" spans="1:3">
      <c r="B468" s="8"/>
      <c r="C468" s="8"/>
    </row>
    <row r="469" spans="1:3" ht="32">
      <c r="A469" s="1" t="s">
        <v>399</v>
      </c>
      <c r="B469" s="8"/>
      <c r="C469" s="8"/>
    </row>
    <row r="470" spans="1:3">
      <c r="B470" s="8"/>
      <c r="C470" s="8"/>
    </row>
    <row r="471" spans="1:3" ht="32">
      <c r="A471" s="1" t="s">
        <v>400</v>
      </c>
      <c r="B471" s="8"/>
      <c r="C471" s="8"/>
    </row>
    <row r="472" spans="1:3">
      <c r="B472" s="8"/>
      <c r="C472" s="8"/>
    </row>
    <row r="473" spans="1:3" ht="32">
      <c r="A473" s="1" t="s">
        <v>401</v>
      </c>
      <c r="B473" s="8"/>
      <c r="C473" s="8"/>
    </row>
    <row r="474" spans="1:3">
      <c r="B474" s="8"/>
      <c r="C474" s="8"/>
    </row>
    <row r="475" spans="1:3" ht="32">
      <c r="A475" s="1" t="s">
        <v>402</v>
      </c>
      <c r="B475" s="8"/>
      <c r="C475" s="8"/>
    </row>
    <row r="476" spans="1:3">
      <c r="B476" s="8"/>
      <c r="C476" s="8"/>
    </row>
    <row r="477" spans="1:3" ht="64">
      <c r="A477" s="1" t="s">
        <v>403</v>
      </c>
      <c r="B477" s="8"/>
      <c r="C477" s="8"/>
    </row>
    <row r="478" spans="1:3">
      <c r="B478" s="8"/>
      <c r="C478" s="8"/>
    </row>
    <row r="479" spans="1:3" ht="32">
      <c r="A479" s="1" t="s">
        <v>404</v>
      </c>
      <c r="B479" s="8"/>
      <c r="C479" s="8"/>
    </row>
    <row r="480" spans="1:3">
      <c r="B480" s="8"/>
      <c r="C480" s="8"/>
    </row>
    <row r="481" spans="1:3" ht="48">
      <c r="A481" s="1" t="s">
        <v>405</v>
      </c>
      <c r="B481" s="8"/>
      <c r="C481" s="8"/>
    </row>
    <row r="482" spans="1:3">
      <c r="C482" s="8"/>
    </row>
    <row r="483" spans="1:3" ht="32">
      <c r="A483" s="1" t="s">
        <v>406</v>
      </c>
    </row>
  </sheetData>
  <hyperlinks>
    <hyperlink ref="B1" r:id="rId1"/>
  </hyperlinks>
  <pageMargins left="0.7" right="0.7" top="0.75" bottom="0.75" header="0.3" footer="0.3"/>
  <pageSetup orientation="portrait" verticalDpi="597"/>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10" sqref="A10"/>
    </sheetView>
  </sheetViews>
  <sheetFormatPr baseColWidth="10" defaultColWidth="8.83203125" defaultRowHeight="14" x14ac:dyDescent="0"/>
  <cols>
    <col min="1" max="1" width="19.83203125" customWidth="1"/>
    <col min="2" max="2" width="29.83203125" customWidth="1"/>
  </cols>
  <sheetData>
    <row r="1" spans="1:2">
      <c r="B1" s="22">
        <v>171.3</v>
      </c>
    </row>
    <row r="2" spans="1:2">
      <c r="B2" s="22">
        <v>1027.82</v>
      </c>
    </row>
    <row r="3" spans="1:2">
      <c r="B3" s="22">
        <v>53446.85</v>
      </c>
    </row>
    <row r="4" spans="1:2">
      <c r="A4" t="s">
        <v>449</v>
      </c>
      <c r="B4" s="22">
        <v>-2732.96</v>
      </c>
    </row>
    <row r="5" spans="1:2">
      <c r="A5" s="2" t="s">
        <v>450</v>
      </c>
      <c r="B5" s="22">
        <v>-73</v>
      </c>
    </row>
    <row r="6" spans="1:2">
      <c r="A6" s="2" t="s">
        <v>451</v>
      </c>
      <c r="B6" s="22">
        <v>-73</v>
      </c>
    </row>
    <row r="7" spans="1:2">
      <c r="A7" s="2" t="s">
        <v>452</v>
      </c>
      <c r="B7" s="22">
        <v>-290</v>
      </c>
    </row>
    <row r="8" spans="1:2">
      <c r="A8" s="2" t="s">
        <v>453</v>
      </c>
      <c r="B8" s="22">
        <v>-214</v>
      </c>
    </row>
    <row r="9" spans="1:2">
      <c r="A9" s="2" t="s">
        <v>454</v>
      </c>
      <c r="B9" s="22">
        <v>-214</v>
      </c>
    </row>
    <row r="10" spans="1:2">
      <c r="A10" s="2" t="s">
        <v>455</v>
      </c>
      <c r="B10" s="23">
        <v>351</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3203125" defaultRowHeight="14"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Gustafson</dc:creator>
  <cp:keywords/>
  <dc:description/>
  <cp:lastModifiedBy>John Miller</cp:lastModifiedBy>
  <dcterms:created xsi:type="dcterms:W3CDTF">2015-02-09T16:11:55Z</dcterms:created>
  <dcterms:modified xsi:type="dcterms:W3CDTF">2015-08-09T06:07:57Z</dcterms:modified>
  <cp:category/>
</cp:coreProperties>
</file>